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codeName="현재_통합_문서"/>
  <mc:AlternateContent xmlns:mc="http://schemas.openxmlformats.org/markup-compatibility/2006">
    <mc:Choice Requires="x15">
      <x15ac:absPath xmlns:x15ac="http://schemas.microsoft.com/office/spreadsheetml/2010/11/ac" url="D:\행정\고등학교\청구서\2019년 청구서\"/>
    </mc:Choice>
  </mc:AlternateContent>
  <xr:revisionPtr revIDLastSave="0" documentId="13_ncr:1_{A15A9B94-DB89-4898-A5D0-A5DEF41CFC8D}" xr6:coauthVersionLast="40" xr6:coauthVersionMax="40" xr10:uidLastSave="{00000000-0000-0000-0000-000000000000}"/>
  <bookViews>
    <workbookView xWindow="0" yWindow="0" windowWidth="28545" windowHeight="11880" firstSheet="1" activeTab="1" xr2:uid="{00000000-000D-0000-FFFF-FFFF00000000}"/>
  </bookViews>
  <sheets>
    <sheet name="데이터" sheetId="1" state="hidden" r:id="rId1"/>
    <sheet name="2018학년도정산서" sheetId="2" r:id="rId2"/>
  </sheets>
  <definedNames>
    <definedName name="_xlnm.Print_Area" localSheetId="1">'2018학년도정산서'!$B$2:$L$39</definedName>
  </definedNames>
  <calcPr calcId="181029"/>
</workbook>
</file>

<file path=xl/calcChain.xml><?xml version="1.0" encoding="utf-8"?>
<calcChain xmlns="http://schemas.openxmlformats.org/spreadsheetml/2006/main">
  <c r="H28" i="2" l="1"/>
  <c r="C28" i="2"/>
  <c r="H27" i="2"/>
  <c r="C27" i="2"/>
  <c r="H26" i="2"/>
  <c r="C26" i="2"/>
  <c r="H24" i="2"/>
  <c r="C24" i="2"/>
  <c r="H23" i="2"/>
  <c r="C23" i="2"/>
  <c r="H22" i="2"/>
  <c r="C22" i="2"/>
  <c r="H21" i="2"/>
  <c r="C21" i="2"/>
  <c r="H20" i="2"/>
  <c r="C20" i="2"/>
  <c r="H19" i="2"/>
  <c r="C18" i="2"/>
  <c r="H17" i="2"/>
  <c r="E17" i="2"/>
  <c r="E16" i="2"/>
  <c r="C16" i="2"/>
  <c r="H15" i="2"/>
  <c r="E15" i="2"/>
  <c r="H14" i="2"/>
  <c r="E14" i="2" s="1"/>
  <c r="G14" i="2"/>
  <c r="E13" i="2"/>
  <c r="H12" i="2"/>
  <c r="E12" i="2"/>
  <c r="H11" i="2"/>
  <c r="G10" i="2"/>
  <c r="E10" i="2"/>
  <c r="G9" i="2"/>
  <c r="G8" i="2"/>
  <c r="E8" i="2"/>
  <c r="I6" i="2"/>
  <c r="D6" i="2"/>
  <c r="N125" i="1"/>
  <c r="BA124" i="1"/>
  <c r="AY124" i="1"/>
  <c r="AW124" i="1"/>
  <c r="AU124" i="1"/>
  <c r="AS124" i="1"/>
  <c r="AQ124" i="1"/>
  <c r="AO124" i="1"/>
  <c r="AM124" i="1"/>
  <c r="AJ124" i="1"/>
  <c r="AH124" i="1"/>
  <c r="C25" i="2" s="1"/>
  <c r="AF124" i="1"/>
  <c r="C19" i="2" s="1"/>
  <c r="AC124" i="1"/>
  <c r="C17" i="2" s="1"/>
  <c r="W124" i="1"/>
  <c r="U124" i="1"/>
  <c r="T124" i="1"/>
  <c r="R124" i="1"/>
  <c r="O124" i="1"/>
  <c r="I124" i="1"/>
  <c r="H124" i="1"/>
  <c r="G124" i="1"/>
  <c r="F124" i="1"/>
  <c r="E124" i="1"/>
  <c r="D124" i="1"/>
  <c r="C124" i="1"/>
  <c r="B124" i="1"/>
  <c r="BB122" i="1"/>
  <c r="AZ122" i="1"/>
  <c r="AY122" i="1"/>
  <c r="AX122" i="1"/>
  <c r="AV122" i="1"/>
  <c r="AT122" i="1"/>
  <c r="AR122" i="1"/>
  <c r="AP122" i="1"/>
  <c r="AN122" i="1"/>
  <c r="AK122" i="1"/>
  <c r="AI122" i="1"/>
  <c r="AG122" i="1"/>
  <c r="AD122" i="1"/>
  <c r="AC122" i="1"/>
  <c r="AA122" i="1"/>
  <c r="X122" i="1"/>
  <c r="U122" i="1"/>
  <c r="S122" i="1"/>
  <c r="R122" i="1"/>
  <c r="Q122" i="1"/>
  <c r="P122" i="1"/>
  <c r="O122" i="1"/>
  <c r="BA121" i="1"/>
  <c r="AW121" i="1"/>
  <c r="AU121" i="1"/>
  <c r="AS121" i="1"/>
  <c r="AQ121" i="1"/>
  <c r="AO121" i="1"/>
  <c r="AM121" i="1"/>
  <c r="AJ121" i="1"/>
  <c r="AH121" i="1"/>
  <c r="W121" i="1"/>
  <c r="F121" i="1" s="1"/>
  <c r="H121" i="1"/>
  <c r="T121" i="1" s="1"/>
  <c r="G121" i="1"/>
  <c r="BA120" i="1"/>
  <c r="AW120" i="1"/>
  <c r="AU120" i="1"/>
  <c r="AS120" i="1"/>
  <c r="AQ120" i="1"/>
  <c r="AO120" i="1"/>
  <c r="AM120" i="1"/>
  <c r="AJ120" i="1"/>
  <c r="AH120" i="1"/>
  <c r="W120" i="1"/>
  <c r="T120" i="1"/>
  <c r="F120" i="1" s="1"/>
  <c r="H120" i="1"/>
  <c r="G120" i="1"/>
  <c r="BA119" i="1"/>
  <c r="AW119" i="1"/>
  <c r="AU119" i="1"/>
  <c r="AS119" i="1"/>
  <c r="AQ119" i="1"/>
  <c r="AO119" i="1"/>
  <c r="AM119" i="1"/>
  <c r="AJ119" i="1"/>
  <c r="AH119" i="1"/>
  <c r="W119" i="1"/>
  <c r="H119" i="1"/>
  <c r="T119" i="1" s="1"/>
  <c r="F119" i="1" s="1"/>
  <c r="G119" i="1"/>
  <c r="BA118" i="1"/>
  <c r="AW118" i="1"/>
  <c r="AU118" i="1"/>
  <c r="AS118" i="1"/>
  <c r="AQ118" i="1"/>
  <c r="AO118" i="1"/>
  <c r="AM118" i="1"/>
  <c r="AJ118" i="1"/>
  <c r="AH118" i="1"/>
  <c r="W118" i="1"/>
  <c r="T118" i="1"/>
  <c r="F118" i="1" s="1"/>
  <c r="H118" i="1"/>
  <c r="G118" i="1"/>
  <c r="BA117" i="1"/>
  <c r="AW117" i="1"/>
  <c r="AU117" i="1"/>
  <c r="AS117" i="1"/>
  <c r="AQ117" i="1"/>
  <c r="AO117" i="1"/>
  <c r="AM117" i="1"/>
  <c r="AJ117" i="1"/>
  <c r="AH117" i="1"/>
  <c r="W117" i="1"/>
  <c r="F117" i="1" s="1"/>
  <c r="H117" i="1"/>
  <c r="T117" i="1" s="1"/>
  <c r="G117" i="1"/>
  <c r="BA116" i="1"/>
  <c r="AW116" i="1"/>
  <c r="AU116" i="1"/>
  <c r="AS116" i="1"/>
  <c r="AQ116" i="1"/>
  <c r="AO116" i="1"/>
  <c r="AM116" i="1"/>
  <c r="AJ116" i="1"/>
  <c r="AH116" i="1"/>
  <c r="W116" i="1"/>
  <c r="T116" i="1"/>
  <c r="F116" i="1" s="1"/>
  <c r="H116" i="1"/>
  <c r="G116" i="1"/>
  <c r="BA115" i="1"/>
  <c r="AW115" i="1"/>
  <c r="AU115" i="1"/>
  <c r="AS115" i="1"/>
  <c r="AQ115" i="1"/>
  <c r="AO115" i="1"/>
  <c r="AM115" i="1"/>
  <c r="AJ115" i="1"/>
  <c r="AH115" i="1"/>
  <c r="W115" i="1"/>
  <c r="H115" i="1"/>
  <c r="T115" i="1" s="1"/>
  <c r="F115" i="1" s="1"/>
  <c r="G115" i="1"/>
  <c r="BA114" i="1"/>
  <c r="AW114" i="1"/>
  <c r="AU114" i="1"/>
  <c r="AS114" i="1"/>
  <c r="AQ114" i="1"/>
  <c r="AO114" i="1"/>
  <c r="AM114" i="1"/>
  <c r="AJ114" i="1"/>
  <c r="AH114" i="1"/>
  <c r="W114" i="1"/>
  <c r="T114" i="1"/>
  <c r="F114" i="1" s="1"/>
  <c r="H114" i="1"/>
  <c r="G114" i="1"/>
  <c r="BA113" i="1"/>
  <c r="AW113" i="1"/>
  <c r="AU113" i="1"/>
  <c r="AS113" i="1"/>
  <c r="AQ113" i="1"/>
  <c r="AO113" i="1"/>
  <c r="AM113" i="1"/>
  <c r="AJ113" i="1"/>
  <c r="AH113" i="1"/>
  <c r="W113" i="1"/>
  <c r="F113" i="1" s="1"/>
  <c r="H113" i="1"/>
  <c r="T113" i="1" s="1"/>
  <c r="G113" i="1"/>
  <c r="BA112" i="1"/>
  <c r="AW112" i="1"/>
  <c r="AU112" i="1"/>
  <c r="AS112" i="1"/>
  <c r="AQ112" i="1"/>
  <c r="AO112" i="1"/>
  <c r="AM112" i="1"/>
  <c r="AJ112" i="1"/>
  <c r="AH112" i="1"/>
  <c r="W112" i="1"/>
  <c r="T112" i="1"/>
  <c r="F112" i="1" s="1"/>
  <c r="H112" i="1"/>
  <c r="G112" i="1"/>
  <c r="BA111" i="1"/>
  <c r="AW111" i="1"/>
  <c r="AU111" i="1"/>
  <c r="AS111" i="1"/>
  <c r="AQ111" i="1"/>
  <c r="AO111" i="1"/>
  <c r="AM111" i="1"/>
  <c r="AJ111" i="1"/>
  <c r="AH111" i="1"/>
  <c r="W111" i="1"/>
  <c r="H111" i="1"/>
  <c r="T111" i="1" s="1"/>
  <c r="F111" i="1" s="1"/>
  <c r="G111" i="1"/>
  <c r="BA110" i="1"/>
  <c r="AW110" i="1"/>
  <c r="AU110" i="1"/>
  <c r="AS110" i="1"/>
  <c r="AQ110" i="1"/>
  <c r="AO110" i="1"/>
  <c r="AM110" i="1"/>
  <c r="AJ110" i="1"/>
  <c r="AH110" i="1"/>
  <c r="W110" i="1"/>
  <c r="T110" i="1"/>
  <c r="F110" i="1" s="1"/>
  <c r="H110" i="1"/>
  <c r="G110" i="1"/>
  <c r="BA109" i="1"/>
  <c r="AW109" i="1"/>
  <c r="AU109" i="1"/>
  <c r="AS109" i="1"/>
  <c r="AQ109" i="1"/>
  <c r="AO109" i="1"/>
  <c r="AM109" i="1"/>
  <c r="AJ109" i="1"/>
  <c r="AH109" i="1"/>
  <c r="W109" i="1"/>
  <c r="F109" i="1" s="1"/>
  <c r="H109" i="1"/>
  <c r="T109" i="1" s="1"/>
  <c r="G109" i="1"/>
  <c r="BA108" i="1"/>
  <c r="AW108" i="1"/>
  <c r="AU108" i="1"/>
  <c r="AS108" i="1"/>
  <c r="AQ108" i="1"/>
  <c r="AO108" i="1"/>
  <c r="AM108" i="1"/>
  <c r="AJ108" i="1"/>
  <c r="AH108" i="1"/>
  <c r="W108" i="1"/>
  <c r="T108" i="1"/>
  <c r="F108" i="1" s="1"/>
  <c r="H108" i="1"/>
  <c r="G108" i="1"/>
  <c r="BA107" i="1"/>
  <c r="AW107" i="1"/>
  <c r="AU107" i="1"/>
  <c r="AS107" i="1"/>
  <c r="AQ107" i="1"/>
  <c r="AO107" i="1"/>
  <c r="AM107" i="1"/>
  <c r="AJ107" i="1"/>
  <c r="AH107" i="1"/>
  <c r="W107" i="1"/>
  <c r="H107" i="1"/>
  <c r="T107" i="1" s="1"/>
  <c r="F107" i="1" s="1"/>
  <c r="G107" i="1"/>
  <c r="BA106" i="1"/>
  <c r="AW106" i="1"/>
  <c r="AU106" i="1"/>
  <c r="AS106" i="1"/>
  <c r="AQ106" i="1"/>
  <c r="AO106" i="1"/>
  <c r="AM106" i="1"/>
  <c r="AJ106" i="1"/>
  <c r="AH106" i="1"/>
  <c r="W106" i="1"/>
  <c r="T106" i="1"/>
  <c r="F106" i="1" s="1"/>
  <c r="H106" i="1"/>
  <c r="G106" i="1"/>
  <c r="BA105" i="1"/>
  <c r="AW105" i="1"/>
  <c r="AU105" i="1"/>
  <c r="AS105" i="1"/>
  <c r="AQ105" i="1"/>
  <c r="AO105" i="1"/>
  <c r="AM105" i="1"/>
  <c r="AJ105" i="1"/>
  <c r="AH105" i="1"/>
  <c r="W105" i="1"/>
  <c r="F105" i="1" s="1"/>
  <c r="H105" i="1"/>
  <c r="T105" i="1" s="1"/>
  <c r="G105" i="1"/>
  <c r="BA104" i="1"/>
  <c r="AW104" i="1"/>
  <c r="AU104" i="1"/>
  <c r="AS104" i="1"/>
  <c r="AQ104" i="1"/>
  <c r="AO104" i="1"/>
  <c r="AM104" i="1"/>
  <c r="AJ104" i="1"/>
  <c r="AH104" i="1"/>
  <c r="W104" i="1"/>
  <c r="T104" i="1"/>
  <c r="F104" i="1" s="1"/>
  <c r="H104" i="1"/>
  <c r="G104" i="1"/>
  <c r="BA103" i="1"/>
  <c r="AW103" i="1"/>
  <c r="AU103" i="1"/>
  <c r="AS103" i="1"/>
  <c r="AQ103" i="1"/>
  <c r="AO103" i="1"/>
  <c r="AM103" i="1"/>
  <c r="AJ103" i="1"/>
  <c r="AH103" i="1"/>
  <c r="W103" i="1"/>
  <c r="H103" i="1"/>
  <c r="T103" i="1" s="1"/>
  <c r="F103" i="1" s="1"/>
  <c r="G103" i="1"/>
  <c r="BA102" i="1"/>
  <c r="AW102" i="1"/>
  <c r="AU102" i="1"/>
  <c r="AS102" i="1"/>
  <c r="AQ102" i="1"/>
  <c r="AO102" i="1"/>
  <c r="AM102" i="1"/>
  <c r="AJ102" i="1"/>
  <c r="AH102" i="1"/>
  <c r="W102" i="1"/>
  <c r="T102" i="1"/>
  <c r="F102" i="1" s="1"/>
  <c r="H102" i="1"/>
  <c r="G102" i="1"/>
  <c r="BA101" i="1"/>
  <c r="AW101" i="1"/>
  <c r="AU101" i="1"/>
  <c r="AS101" i="1"/>
  <c r="AQ101" i="1"/>
  <c r="AO101" i="1"/>
  <c r="AM101" i="1"/>
  <c r="AJ101" i="1"/>
  <c r="AH101" i="1"/>
  <c r="W101" i="1"/>
  <c r="F101" i="1" s="1"/>
  <c r="H101" i="1"/>
  <c r="T101" i="1" s="1"/>
  <c r="G101" i="1"/>
  <c r="BA100" i="1"/>
  <c r="AW100" i="1"/>
  <c r="AU100" i="1"/>
  <c r="AS100" i="1"/>
  <c r="AQ100" i="1"/>
  <c r="AO100" i="1"/>
  <c r="AM100" i="1"/>
  <c r="AJ100" i="1"/>
  <c r="AH100" i="1"/>
  <c r="W100" i="1"/>
  <c r="M100" i="1"/>
  <c r="K100" i="1"/>
  <c r="I100" i="1"/>
  <c r="H100" i="1"/>
  <c r="T100" i="1" s="1"/>
  <c r="G100" i="1"/>
  <c r="BA99" i="1"/>
  <c r="AW99" i="1"/>
  <c r="AU99" i="1"/>
  <c r="AS99" i="1"/>
  <c r="AQ99" i="1"/>
  <c r="AO99" i="1"/>
  <c r="AM99" i="1"/>
  <c r="AJ99" i="1"/>
  <c r="AH99" i="1"/>
  <c r="W99" i="1"/>
  <c r="T99" i="1"/>
  <c r="F99" i="1" s="1"/>
  <c r="H99" i="1"/>
  <c r="G99" i="1"/>
  <c r="BA98" i="1"/>
  <c r="AU98" i="1"/>
  <c r="AS98" i="1"/>
  <c r="AQ98" i="1"/>
  <c r="AO98" i="1"/>
  <c r="AM98" i="1"/>
  <c r="AJ98" i="1"/>
  <c r="AH98" i="1"/>
  <c r="W98" i="1"/>
  <c r="H98" i="1"/>
  <c r="T98" i="1" s="1"/>
  <c r="F98" i="1" s="1"/>
  <c r="G98" i="1"/>
  <c r="BA97" i="1"/>
  <c r="AW97" i="1"/>
  <c r="AU97" i="1"/>
  <c r="AS97" i="1"/>
  <c r="AQ97" i="1"/>
  <c r="AO97" i="1"/>
  <c r="AM97" i="1"/>
  <c r="AJ97" i="1"/>
  <c r="AH97" i="1"/>
  <c r="W97" i="1"/>
  <c r="T97" i="1"/>
  <c r="F97" i="1" s="1"/>
  <c r="H97" i="1"/>
  <c r="G97" i="1"/>
  <c r="BA96" i="1"/>
  <c r="AW96" i="1"/>
  <c r="AU96" i="1"/>
  <c r="AS96" i="1"/>
  <c r="AQ96" i="1"/>
  <c r="AO96" i="1"/>
  <c r="AM96" i="1"/>
  <c r="AJ96" i="1"/>
  <c r="AH96" i="1"/>
  <c r="W96" i="1"/>
  <c r="F96" i="1" s="1"/>
  <c r="H96" i="1"/>
  <c r="T96" i="1" s="1"/>
  <c r="G96" i="1"/>
  <c r="BA95" i="1"/>
  <c r="AW95" i="1"/>
  <c r="AU95" i="1"/>
  <c r="AS95" i="1"/>
  <c r="AQ95" i="1"/>
  <c r="AO95" i="1"/>
  <c r="AM95" i="1"/>
  <c r="AJ95" i="1"/>
  <c r="AH95" i="1"/>
  <c r="W95" i="1"/>
  <c r="T95" i="1"/>
  <c r="F95" i="1" s="1"/>
  <c r="H95" i="1"/>
  <c r="G95" i="1"/>
  <c r="BA94" i="1"/>
  <c r="AW94" i="1"/>
  <c r="AU94" i="1"/>
  <c r="AS94" i="1"/>
  <c r="AQ94" i="1"/>
  <c r="AO94" i="1"/>
  <c r="AM94" i="1"/>
  <c r="AJ94" i="1"/>
  <c r="AH94" i="1"/>
  <c r="W94" i="1"/>
  <c r="H94" i="1"/>
  <c r="T94" i="1" s="1"/>
  <c r="F94" i="1" s="1"/>
  <c r="G94" i="1"/>
  <c r="BA93" i="1"/>
  <c r="AW93" i="1"/>
  <c r="AU93" i="1"/>
  <c r="AS93" i="1"/>
  <c r="AQ93" i="1"/>
  <c r="AO93" i="1"/>
  <c r="AM93" i="1"/>
  <c r="AJ93" i="1"/>
  <c r="AH93" i="1"/>
  <c r="W93" i="1"/>
  <c r="T93" i="1"/>
  <c r="F93" i="1" s="1"/>
  <c r="H93" i="1"/>
  <c r="G93" i="1"/>
  <c r="BA92" i="1"/>
  <c r="AW92" i="1"/>
  <c r="AU92" i="1"/>
  <c r="AS92" i="1"/>
  <c r="AQ92" i="1"/>
  <c r="AO92" i="1"/>
  <c r="AM92" i="1"/>
  <c r="AJ92" i="1"/>
  <c r="AH92" i="1"/>
  <c r="W92" i="1"/>
  <c r="F92" i="1" s="1"/>
  <c r="H92" i="1"/>
  <c r="T92" i="1" s="1"/>
  <c r="G92" i="1"/>
  <c r="BA91" i="1"/>
  <c r="AW91" i="1"/>
  <c r="AU91" i="1"/>
  <c r="AS91" i="1"/>
  <c r="AQ91" i="1"/>
  <c r="AO91" i="1"/>
  <c r="AM91" i="1"/>
  <c r="AJ91" i="1"/>
  <c r="AH91" i="1"/>
  <c r="W91" i="1"/>
  <c r="T91" i="1"/>
  <c r="F91" i="1" s="1"/>
  <c r="H91" i="1"/>
  <c r="G91" i="1"/>
  <c r="BA90" i="1"/>
  <c r="AW90" i="1"/>
  <c r="AU90" i="1"/>
  <c r="AS90" i="1"/>
  <c r="AQ90" i="1"/>
  <c r="AO90" i="1"/>
  <c r="AM90" i="1"/>
  <c r="AJ90" i="1"/>
  <c r="AH90" i="1"/>
  <c r="W90" i="1"/>
  <c r="H90" i="1"/>
  <c r="T90" i="1" s="1"/>
  <c r="F90" i="1" s="1"/>
  <c r="G90" i="1"/>
  <c r="BA89" i="1"/>
  <c r="AW89" i="1"/>
  <c r="AU89" i="1"/>
  <c r="AS89" i="1"/>
  <c r="AQ89" i="1"/>
  <c r="AO89" i="1"/>
  <c r="AM89" i="1"/>
  <c r="AJ89" i="1"/>
  <c r="AH89" i="1"/>
  <c r="W89" i="1"/>
  <c r="T89" i="1"/>
  <c r="F89" i="1" s="1"/>
  <c r="H89" i="1"/>
  <c r="G89" i="1"/>
  <c r="BA88" i="1"/>
  <c r="AW88" i="1"/>
  <c r="AU88" i="1"/>
  <c r="AS88" i="1"/>
  <c r="AQ88" i="1"/>
  <c r="AO88" i="1"/>
  <c r="AM88" i="1"/>
  <c r="AJ88" i="1"/>
  <c r="AH88" i="1"/>
  <c r="W88" i="1"/>
  <c r="F88" i="1" s="1"/>
  <c r="H88" i="1"/>
  <c r="T88" i="1" s="1"/>
  <c r="G88" i="1"/>
  <c r="BA87" i="1"/>
  <c r="AW87" i="1"/>
  <c r="AU87" i="1"/>
  <c r="AS87" i="1"/>
  <c r="AQ87" i="1"/>
  <c r="AO87" i="1"/>
  <c r="AM87" i="1"/>
  <c r="AJ87" i="1"/>
  <c r="AH87" i="1"/>
  <c r="W87" i="1"/>
  <c r="T87" i="1"/>
  <c r="F87" i="1" s="1"/>
  <c r="H87" i="1"/>
  <c r="G87" i="1"/>
  <c r="AO86" i="1"/>
  <c r="AJ86" i="1"/>
  <c r="AH86" i="1"/>
  <c r="AF86" i="1"/>
  <c r="AF122" i="1" s="1"/>
  <c r="T86" i="1"/>
  <c r="F86" i="1"/>
  <c r="BA85" i="1"/>
  <c r="AW85" i="1"/>
  <c r="AU85" i="1"/>
  <c r="AS85" i="1"/>
  <c r="AQ85" i="1"/>
  <c r="AO85" i="1"/>
  <c r="AJ85" i="1"/>
  <c r="AH85" i="1"/>
  <c r="Z85" i="1"/>
  <c r="W85" i="1"/>
  <c r="H85" i="1"/>
  <c r="T85" i="1" s="1"/>
  <c r="F85" i="1" s="1"/>
  <c r="G85" i="1"/>
  <c r="BA84" i="1"/>
  <c r="AW84" i="1"/>
  <c r="AU84" i="1"/>
  <c r="AS84" i="1"/>
  <c r="AQ84" i="1"/>
  <c r="AO84" i="1"/>
  <c r="AJ84" i="1"/>
  <c r="AH84" i="1"/>
  <c r="Z84" i="1"/>
  <c r="W84" i="1"/>
  <c r="H84" i="1"/>
  <c r="T84" i="1" s="1"/>
  <c r="G84" i="1"/>
  <c r="F84" i="1"/>
  <c r="BA83" i="1"/>
  <c r="AW83" i="1"/>
  <c r="AU83" i="1"/>
  <c r="AS83" i="1"/>
  <c r="AQ83" i="1"/>
  <c r="AO83" i="1"/>
  <c r="AJ83" i="1"/>
  <c r="AH83" i="1"/>
  <c r="Z83" i="1"/>
  <c r="W83" i="1"/>
  <c r="H83" i="1"/>
  <c r="T83" i="1" s="1"/>
  <c r="F83" i="1" s="1"/>
  <c r="G83" i="1"/>
  <c r="BA82" i="1"/>
  <c r="AW82" i="1"/>
  <c r="AU82" i="1"/>
  <c r="AS82" i="1"/>
  <c r="AQ82" i="1"/>
  <c r="AO82" i="1"/>
  <c r="AJ82" i="1"/>
  <c r="AH82" i="1"/>
  <c r="Z82" i="1"/>
  <c r="W82" i="1"/>
  <c r="M82" i="1"/>
  <c r="K82" i="1"/>
  <c r="H82" i="1"/>
  <c r="T82" i="1" s="1"/>
  <c r="G82" i="1"/>
  <c r="BA81" i="1"/>
  <c r="AW81" i="1"/>
  <c r="AU81" i="1"/>
  <c r="AS81" i="1"/>
  <c r="AQ81" i="1"/>
  <c r="AO81" i="1"/>
  <c r="AJ81" i="1"/>
  <c r="AH81" i="1"/>
  <c r="Z81" i="1"/>
  <c r="W81" i="1"/>
  <c r="H81" i="1"/>
  <c r="T81" i="1" s="1"/>
  <c r="G81" i="1"/>
  <c r="F81" i="1"/>
  <c r="BA80" i="1"/>
  <c r="AW80" i="1"/>
  <c r="AU80" i="1"/>
  <c r="AS80" i="1"/>
  <c r="AQ80" i="1"/>
  <c r="AO80" i="1"/>
  <c r="AJ80" i="1"/>
  <c r="AH80" i="1"/>
  <c r="Z80" i="1"/>
  <c r="W80" i="1"/>
  <c r="H80" i="1"/>
  <c r="T80" i="1" s="1"/>
  <c r="F80" i="1" s="1"/>
  <c r="G80" i="1"/>
  <c r="BA79" i="1"/>
  <c r="AW79" i="1"/>
  <c r="AU79" i="1"/>
  <c r="AS79" i="1"/>
  <c r="AQ79" i="1"/>
  <c r="AO79" i="1"/>
  <c r="AJ79" i="1"/>
  <c r="AH79" i="1"/>
  <c r="Z79" i="1"/>
  <c r="W79" i="1"/>
  <c r="H79" i="1"/>
  <c r="T79" i="1" s="1"/>
  <c r="F79" i="1" s="1"/>
  <c r="G79" i="1"/>
  <c r="BA78" i="1"/>
  <c r="AW78" i="1"/>
  <c r="AU78" i="1"/>
  <c r="AS78" i="1"/>
  <c r="AQ78" i="1"/>
  <c r="AO78" i="1"/>
  <c r="AJ78" i="1"/>
  <c r="AH78" i="1"/>
  <c r="Z78" i="1"/>
  <c r="W78" i="1"/>
  <c r="H78" i="1"/>
  <c r="T78" i="1" s="1"/>
  <c r="F78" i="1" s="1"/>
  <c r="G78" i="1"/>
  <c r="BA77" i="1"/>
  <c r="AW77" i="1"/>
  <c r="AU77" i="1"/>
  <c r="AS77" i="1"/>
  <c r="AQ77" i="1"/>
  <c r="AO77" i="1"/>
  <c r="AJ77" i="1"/>
  <c r="AH77" i="1"/>
  <c r="Z77" i="1"/>
  <c r="W77" i="1"/>
  <c r="H77" i="1"/>
  <c r="T77" i="1" s="1"/>
  <c r="G77" i="1"/>
  <c r="F77" i="1"/>
  <c r="BA76" i="1"/>
  <c r="AW76" i="1"/>
  <c r="AU76" i="1"/>
  <c r="AS76" i="1"/>
  <c r="AQ76" i="1"/>
  <c r="AO76" i="1"/>
  <c r="AJ76" i="1"/>
  <c r="AH76" i="1"/>
  <c r="Z76" i="1"/>
  <c r="W76" i="1"/>
  <c r="H76" i="1"/>
  <c r="T76" i="1" s="1"/>
  <c r="F76" i="1" s="1"/>
  <c r="G76" i="1"/>
  <c r="BA75" i="1"/>
  <c r="AW75" i="1"/>
  <c r="AU75" i="1"/>
  <c r="AS75" i="1"/>
  <c r="AQ75" i="1"/>
  <c r="AO75" i="1"/>
  <c r="AJ75" i="1"/>
  <c r="AH75" i="1"/>
  <c r="Z75" i="1"/>
  <c r="W75" i="1"/>
  <c r="H75" i="1"/>
  <c r="T75" i="1" s="1"/>
  <c r="F75" i="1" s="1"/>
  <c r="G75" i="1"/>
  <c r="BA74" i="1"/>
  <c r="AW74" i="1"/>
  <c r="AU74" i="1"/>
  <c r="AS74" i="1"/>
  <c r="AQ74" i="1"/>
  <c r="AO74" i="1"/>
  <c r="AJ74" i="1"/>
  <c r="AH74" i="1"/>
  <c r="Z74" i="1"/>
  <c r="W74" i="1"/>
  <c r="H74" i="1"/>
  <c r="T74" i="1" s="1"/>
  <c r="F74" i="1" s="1"/>
  <c r="G74" i="1"/>
  <c r="BA73" i="1"/>
  <c r="AW73" i="1"/>
  <c r="AU73" i="1"/>
  <c r="AS73" i="1"/>
  <c r="AQ73" i="1"/>
  <c r="AO73" i="1"/>
  <c r="AJ73" i="1"/>
  <c r="AH73" i="1"/>
  <c r="Z73" i="1"/>
  <c r="W73" i="1"/>
  <c r="H73" i="1"/>
  <c r="G73" i="1"/>
  <c r="F73" i="1"/>
  <c r="BA72" i="1"/>
  <c r="AW72" i="1"/>
  <c r="AU72" i="1"/>
  <c r="AS72" i="1"/>
  <c r="AQ72" i="1"/>
  <c r="AO72" i="1"/>
  <c r="AJ72" i="1"/>
  <c r="AH72" i="1"/>
  <c r="Z72" i="1"/>
  <c r="W72" i="1"/>
  <c r="H72" i="1"/>
  <c r="T72" i="1" s="1"/>
  <c r="G72" i="1"/>
  <c r="BA71" i="1"/>
  <c r="AW71" i="1"/>
  <c r="AU71" i="1"/>
  <c r="AS71" i="1"/>
  <c r="AQ71" i="1"/>
  <c r="AO71" i="1"/>
  <c r="AJ71" i="1"/>
  <c r="AH71" i="1"/>
  <c r="Z71" i="1"/>
  <c r="W71" i="1"/>
  <c r="T71" i="1"/>
  <c r="H71" i="1"/>
  <c r="G71" i="1"/>
  <c r="F71" i="1"/>
  <c r="BA70" i="1"/>
  <c r="AW70" i="1"/>
  <c r="AU70" i="1"/>
  <c r="AS70" i="1"/>
  <c r="AQ70" i="1"/>
  <c r="AO70" i="1"/>
  <c r="H18" i="2" s="1"/>
  <c r="AJ70" i="1"/>
  <c r="AH70" i="1"/>
  <c r="H25" i="2" s="1"/>
  <c r="Z70" i="1"/>
  <c r="H16" i="2" s="1"/>
  <c r="W70" i="1"/>
  <c r="M70" i="1"/>
  <c r="H10" i="2" s="1"/>
  <c r="K70" i="1"/>
  <c r="H9" i="2" s="1"/>
  <c r="I70" i="1"/>
  <c r="H8" i="2" s="1"/>
  <c r="H70" i="1"/>
  <c r="T70" i="1" s="1"/>
  <c r="F70" i="1" s="1"/>
  <c r="G70" i="1"/>
  <c r="BA69" i="1"/>
  <c r="AW69" i="1"/>
  <c r="AU69" i="1"/>
  <c r="AS69" i="1"/>
  <c r="AQ69" i="1"/>
  <c r="AO69" i="1"/>
  <c r="AJ69" i="1"/>
  <c r="AH69" i="1"/>
  <c r="Z69" i="1"/>
  <c r="W69" i="1"/>
  <c r="T69" i="1"/>
  <c r="M69" i="1"/>
  <c r="M122" i="1" s="1"/>
  <c r="K69" i="1"/>
  <c r="H69" i="1"/>
  <c r="G69" i="1"/>
  <c r="F69" i="1"/>
  <c r="BA68" i="1"/>
  <c r="AW68" i="1"/>
  <c r="AU68" i="1"/>
  <c r="AS68" i="1"/>
  <c r="AQ68" i="1"/>
  <c r="AO68" i="1"/>
  <c r="AJ68" i="1"/>
  <c r="AH68" i="1"/>
  <c r="Z68" i="1"/>
  <c r="W68" i="1"/>
  <c r="H68" i="1"/>
  <c r="T68" i="1" s="1"/>
  <c r="F68" i="1" s="1"/>
  <c r="G68" i="1"/>
  <c r="BA67" i="1"/>
  <c r="AW67" i="1"/>
  <c r="AU67" i="1"/>
  <c r="AS67" i="1"/>
  <c r="AQ67" i="1"/>
  <c r="AO67" i="1"/>
  <c r="AJ67" i="1"/>
  <c r="AH67" i="1"/>
  <c r="Z67" i="1"/>
  <c r="W67" i="1"/>
  <c r="H67" i="1"/>
  <c r="T67" i="1" s="1"/>
  <c r="G67" i="1"/>
  <c r="F67" i="1"/>
  <c r="BA66" i="1"/>
  <c r="AW66" i="1"/>
  <c r="AU66" i="1"/>
  <c r="AS66" i="1"/>
  <c r="AQ66" i="1"/>
  <c r="AO66" i="1"/>
  <c r="AJ66" i="1"/>
  <c r="AH66" i="1"/>
  <c r="Z66" i="1"/>
  <c r="W66" i="1"/>
  <c r="H66" i="1"/>
  <c r="T66" i="1" s="1"/>
  <c r="F66" i="1" s="1"/>
  <c r="G66" i="1"/>
  <c r="BA65" i="1"/>
  <c r="AW65" i="1"/>
  <c r="AU65" i="1"/>
  <c r="AS65" i="1"/>
  <c r="AQ65" i="1"/>
  <c r="AO65" i="1"/>
  <c r="AJ65" i="1"/>
  <c r="AH65" i="1"/>
  <c r="Z65" i="1"/>
  <c r="W65" i="1"/>
  <c r="H65" i="1"/>
  <c r="T65" i="1" s="1"/>
  <c r="F65" i="1" s="1"/>
  <c r="G65" i="1"/>
  <c r="BA64" i="1"/>
  <c r="AW64" i="1"/>
  <c r="AU64" i="1"/>
  <c r="AS64" i="1"/>
  <c r="AQ64" i="1"/>
  <c r="AO64" i="1"/>
  <c r="AJ64" i="1"/>
  <c r="AH64" i="1"/>
  <c r="Z64" i="1"/>
  <c r="W64" i="1"/>
  <c r="H64" i="1"/>
  <c r="T64" i="1" s="1"/>
  <c r="F64" i="1" s="1"/>
  <c r="G64" i="1"/>
  <c r="BA63" i="1"/>
  <c r="AW63" i="1"/>
  <c r="AU63" i="1"/>
  <c r="AS63" i="1"/>
  <c r="AQ63" i="1"/>
  <c r="AO63" i="1"/>
  <c r="AJ63" i="1"/>
  <c r="AH63" i="1"/>
  <c r="Z63" i="1"/>
  <c r="W63" i="1"/>
  <c r="H63" i="1"/>
  <c r="T63" i="1" s="1"/>
  <c r="G63" i="1"/>
  <c r="F63" i="1"/>
  <c r="BA62" i="1"/>
  <c r="AW62" i="1"/>
  <c r="AU62" i="1"/>
  <c r="AS62" i="1"/>
  <c r="AQ62" i="1"/>
  <c r="AO62" i="1"/>
  <c r="AJ62" i="1"/>
  <c r="AH62" i="1"/>
  <c r="Z62" i="1"/>
  <c r="W62" i="1"/>
  <c r="H62" i="1"/>
  <c r="T62" i="1" s="1"/>
  <c r="F62" i="1" s="1"/>
  <c r="G62" i="1"/>
  <c r="BA61" i="1"/>
  <c r="AW61" i="1"/>
  <c r="AU61" i="1"/>
  <c r="AS61" i="1"/>
  <c r="AQ61" i="1"/>
  <c r="AO61" i="1"/>
  <c r="AJ61" i="1"/>
  <c r="AH61" i="1"/>
  <c r="Z61" i="1"/>
  <c r="W61" i="1"/>
  <c r="H61" i="1"/>
  <c r="T61" i="1" s="1"/>
  <c r="F61" i="1" s="1"/>
  <c r="G61" i="1"/>
  <c r="BA60" i="1"/>
  <c r="AW60" i="1"/>
  <c r="AU60" i="1"/>
  <c r="AS60" i="1"/>
  <c r="AQ60" i="1"/>
  <c r="AO60" i="1"/>
  <c r="AJ60" i="1"/>
  <c r="AH60" i="1"/>
  <c r="Z60" i="1"/>
  <c r="W60" i="1"/>
  <c r="H60" i="1"/>
  <c r="T60" i="1" s="1"/>
  <c r="F60" i="1" s="1"/>
  <c r="G60" i="1"/>
  <c r="BA59" i="1"/>
  <c r="AW59" i="1"/>
  <c r="AU59" i="1"/>
  <c r="AS59" i="1"/>
  <c r="AQ59" i="1"/>
  <c r="AO59" i="1"/>
  <c r="AJ59" i="1"/>
  <c r="AH59" i="1"/>
  <c r="Z59" i="1"/>
  <c r="W59" i="1"/>
  <c r="H59" i="1"/>
  <c r="T59" i="1" s="1"/>
  <c r="G59" i="1"/>
  <c r="F59" i="1"/>
  <c r="BA58" i="1"/>
  <c r="AW58" i="1"/>
  <c r="AU58" i="1"/>
  <c r="AS58" i="1"/>
  <c r="AQ58" i="1"/>
  <c r="AO58" i="1"/>
  <c r="AJ58" i="1"/>
  <c r="AH58" i="1"/>
  <c r="Z58" i="1"/>
  <c r="W58" i="1"/>
  <c r="H58" i="1"/>
  <c r="T58" i="1" s="1"/>
  <c r="F58" i="1" s="1"/>
  <c r="G58" i="1"/>
  <c r="BA57" i="1"/>
  <c r="AW57" i="1"/>
  <c r="AU57" i="1"/>
  <c r="AS57" i="1"/>
  <c r="AQ57" i="1"/>
  <c r="AO57" i="1"/>
  <c r="AJ57" i="1"/>
  <c r="AH57" i="1"/>
  <c r="Z57" i="1"/>
  <c r="W57" i="1"/>
  <c r="H57" i="1"/>
  <c r="T57" i="1" s="1"/>
  <c r="F57" i="1" s="1"/>
  <c r="G57" i="1"/>
  <c r="BA56" i="1"/>
  <c r="AW56" i="1"/>
  <c r="AU56" i="1"/>
  <c r="AS56" i="1"/>
  <c r="AQ56" i="1"/>
  <c r="AO56" i="1"/>
  <c r="AJ56" i="1"/>
  <c r="AH56" i="1"/>
  <c r="Z56" i="1"/>
  <c r="W56" i="1"/>
  <c r="H56" i="1"/>
  <c r="T56" i="1" s="1"/>
  <c r="F56" i="1" s="1"/>
  <c r="G56" i="1"/>
  <c r="BA55" i="1"/>
  <c r="AW55" i="1"/>
  <c r="AU55" i="1"/>
  <c r="AS55" i="1"/>
  <c r="AQ55" i="1"/>
  <c r="AO55" i="1"/>
  <c r="AJ55" i="1"/>
  <c r="AH55" i="1"/>
  <c r="Z55" i="1"/>
  <c r="W55" i="1"/>
  <c r="H55" i="1"/>
  <c r="T55" i="1" s="1"/>
  <c r="G55" i="1"/>
  <c r="F55" i="1"/>
  <c r="BA54" i="1"/>
  <c r="AW54" i="1"/>
  <c r="AU54" i="1"/>
  <c r="AS54" i="1"/>
  <c r="AQ54" i="1"/>
  <c r="AO54" i="1"/>
  <c r="AM54" i="1"/>
  <c r="AJ54" i="1"/>
  <c r="AH54" i="1"/>
  <c r="Z54" i="1"/>
  <c r="W54" i="1"/>
  <c r="T54" i="1"/>
  <c r="F54" i="1" s="1"/>
  <c r="H54" i="1"/>
  <c r="G54" i="1"/>
  <c r="BA53" i="1"/>
  <c r="AW53" i="1"/>
  <c r="AU53" i="1"/>
  <c r="AS53" i="1"/>
  <c r="AQ53" i="1"/>
  <c r="AO53" i="1"/>
  <c r="AJ53" i="1"/>
  <c r="AH53" i="1"/>
  <c r="Z53" i="1"/>
  <c r="W53" i="1"/>
  <c r="H53" i="1"/>
  <c r="T53" i="1" s="1"/>
  <c r="G53" i="1"/>
  <c r="BA52" i="1"/>
  <c r="AW52" i="1"/>
  <c r="AU52" i="1"/>
  <c r="AS52" i="1"/>
  <c r="AQ52" i="1"/>
  <c r="AO52" i="1"/>
  <c r="AJ52" i="1"/>
  <c r="AH52" i="1"/>
  <c r="Z52" i="1"/>
  <c r="W52" i="1"/>
  <c r="T52" i="1"/>
  <c r="F52" i="1" s="1"/>
  <c r="H52" i="1"/>
  <c r="G52" i="1"/>
  <c r="BA51" i="1"/>
  <c r="AW51" i="1"/>
  <c r="AU51" i="1"/>
  <c r="AS51" i="1"/>
  <c r="AQ51" i="1"/>
  <c r="AO51" i="1"/>
  <c r="AJ51" i="1"/>
  <c r="AH51" i="1"/>
  <c r="Z51" i="1"/>
  <c r="W51" i="1"/>
  <c r="T51" i="1"/>
  <c r="F51" i="1" s="1"/>
  <c r="H51" i="1"/>
  <c r="G51" i="1"/>
  <c r="BA50" i="1"/>
  <c r="AW50" i="1"/>
  <c r="AU50" i="1"/>
  <c r="AS50" i="1"/>
  <c r="AQ50" i="1"/>
  <c r="AO50" i="1"/>
  <c r="AJ50" i="1"/>
  <c r="AH50" i="1"/>
  <c r="Z50" i="1"/>
  <c r="W50" i="1"/>
  <c r="T50" i="1"/>
  <c r="H50" i="1"/>
  <c r="G50" i="1"/>
  <c r="F50" i="1"/>
  <c r="BA49" i="1"/>
  <c r="AW49" i="1"/>
  <c r="AU49" i="1"/>
  <c r="AS49" i="1"/>
  <c r="AQ49" i="1"/>
  <c r="AO49" i="1"/>
  <c r="AJ49" i="1"/>
  <c r="AH49" i="1"/>
  <c r="Z49" i="1"/>
  <c r="W49" i="1"/>
  <c r="H49" i="1"/>
  <c r="T49" i="1" s="1"/>
  <c r="F49" i="1" s="1"/>
  <c r="G49" i="1"/>
  <c r="BA48" i="1"/>
  <c r="AW48" i="1"/>
  <c r="AU48" i="1"/>
  <c r="AU122" i="1" s="1"/>
  <c r="AS48" i="1"/>
  <c r="AQ48" i="1"/>
  <c r="AQ122" i="1" s="1"/>
  <c r="AO48" i="1"/>
  <c r="AJ48" i="1"/>
  <c r="AJ122" i="1" s="1"/>
  <c r="AH48" i="1"/>
  <c r="Z48" i="1"/>
  <c r="W48" i="1"/>
  <c r="T48" i="1"/>
  <c r="F48" i="1" s="1"/>
  <c r="H48" i="1"/>
  <c r="G48" i="1"/>
  <c r="BA47" i="1"/>
  <c r="AW47" i="1"/>
  <c r="AU47" i="1"/>
  <c r="AS47" i="1"/>
  <c r="AQ47" i="1"/>
  <c r="AO47" i="1"/>
  <c r="AM47" i="1"/>
  <c r="AJ47" i="1"/>
  <c r="AH47" i="1"/>
  <c r="Z47" i="1"/>
  <c r="W47" i="1"/>
  <c r="H47" i="1"/>
  <c r="T47" i="1" s="1"/>
  <c r="F47" i="1" s="1"/>
  <c r="G47" i="1"/>
  <c r="BA46" i="1"/>
  <c r="AW46" i="1"/>
  <c r="AU46" i="1"/>
  <c r="AS46" i="1"/>
  <c r="AQ46" i="1"/>
  <c r="AO46" i="1"/>
  <c r="AM46" i="1"/>
  <c r="AJ46" i="1"/>
  <c r="AH46" i="1"/>
  <c r="Z46" i="1"/>
  <c r="W46" i="1"/>
  <c r="T46" i="1"/>
  <c r="H46" i="1"/>
  <c r="G46" i="1"/>
  <c r="BA45" i="1"/>
  <c r="AW45" i="1"/>
  <c r="AU45" i="1"/>
  <c r="AS45" i="1"/>
  <c r="AQ45" i="1"/>
  <c r="AO45" i="1"/>
  <c r="AM45" i="1"/>
  <c r="AJ45" i="1"/>
  <c r="AH45" i="1"/>
  <c r="Z45" i="1"/>
  <c r="W45" i="1"/>
  <c r="H45" i="1"/>
  <c r="T45" i="1" s="1"/>
  <c r="F45" i="1" s="1"/>
  <c r="G45" i="1"/>
  <c r="BA44" i="1"/>
  <c r="AW44" i="1"/>
  <c r="AU44" i="1"/>
  <c r="AS44" i="1"/>
  <c r="AQ44" i="1"/>
  <c r="AO44" i="1"/>
  <c r="AM44" i="1"/>
  <c r="AJ44" i="1"/>
  <c r="AH44" i="1"/>
  <c r="Z44" i="1"/>
  <c r="W44" i="1"/>
  <c r="T44" i="1"/>
  <c r="F44" i="1" s="1"/>
  <c r="H44" i="1"/>
  <c r="G44" i="1"/>
  <c r="BA43" i="1"/>
  <c r="AW43" i="1"/>
  <c r="AU43" i="1"/>
  <c r="AS43" i="1"/>
  <c r="AQ43" i="1"/>
  <c r="AO43" i="1"/>
  <c r="AM43" i="1"/>
  <c r="AJ43" i="1"/>
  <c r="AH43" i="1"/>
  <c r="Z43" i="1"/>
  <c r="W43" i="1"/>
  <c r="H43" i="1"/>
  <c r="T43" i="1" s="1"/>
  <c r="F43" i="1" s="1"/>
  <c r="G43" i="1"/>
  <c r="BA42" i="1"/>
  <c r="AW42" i="1"/>
  <c r="AU42" i="1"/>
  <c r="AS42" i="1"/>
  <c r="AQ42" i="1"/>
  <c r="AO42" i="1"/>
  <c r="AM42" i="1"/>
  <c r="AJ42" i="1"/>
  <c r="AH42" i="1"/>
  <c r="Z42" i="1"/>
  <c r="W42" i="1"/>
  <c r="T42" i="1"/>
  <c r="H42" i="1"/>
  <c r="G42" i="1"/>
  <c r="BA41" i="1"/>
  <c r="AW41" i="1"/>
  <c r="AU41" i="1"/>
  <c r="AS41" i="1"/>
  <c r="AQ41" i="1"/>
  <c r="AO41" i="1"/>
  <c r="AM41" i="1"/>
  <c r="AJ41" i="1"/>
  <c r="AH41" i="1"/>
  <c r="Z41" i="1"/>
  <c r="W41" i="1"/>
  <c r="H41" i="1"/>
  <c r="T41" i="1" s="1"/>
  <c r="G41" i="1"/>
  <c r="F41" i="1"/>
  <c r="BA40" i="1"/>
  <c r="AW40" i="1"/>
  <c r="AU40" i="1"/>
  <c r="AS40" i="1"/>
  <c r="AQ40" i="1"/>
  <c r="AO40" i="1"/>
  <c r="AM40" i="1"/>
  <c r="AJ40" i="1"/>
  <c r="AH40" i="1"/>
  <c r="Z40" i="1"/>
  <c r="W40" i="1"/>
  <c r="T40" i="1"/>
  <c r="F40" i="1" s="1"/>
  <c r="H40" i="1"/>
  <c r="G40" i="1"/>
  <c r="BA39" i="1"/>
  <c r="AW39" i="1"/>
  <c r="AU39" i="1"/>
  <c r="AS39" i="1"/>
  <c r="AQ39" i="1"/>
  <c r="AO39" i="1"/>
  <c r="AM39" i="1"/>
  <c r="AJ39" i="1"/>
  <c r="AH39" i="1"/>
  <c r="Z39" i="1"/>
  <c r="W39" i="1"/>
  <c r="H39" i="1"/>
  <c r="T39" i="1" s="1"/>
  <c r="F39" i="1" s="1"/>
  <c r="G39" i="1"/>
  <c r="BA38" i="1"/>
  <c r="AW38" i="1"/>
  <c r="AU38" i="1"/>
  <c r="AS38" i="1"/>
  <c r="AQ38" i="1"/>
  <c r="AO38" i="1"/>
  <c r="AM38" i="1"/>
  <c r="AJ38" i="1"/>
  <c r="AH38" i="1"/>
  <c r="Z38" i="1"/>
  <c r="W38" i="1"/>
  <c r="T38" i="1"/>
  <c r="H38" i="1"/>
  <c r="G38" i="1"/>
  <c r="BA37" i="1"/>
  <c r="AW37" i="1"/>
  <c r="AU37" i="1"/>
  <c r="AS37" i="1"/>
  <c r="AQ37" i="1"/>
  <c r="AO37" i="1"/>
  <c r="AM37" i="1"/>
  <c r="AJ37" i="1"/>
  <c r="AH37" i="1"/>
  <c r="Z37" i="1"/>
  <c r="W37" i="1"/>
  <c r="I37" i="1"/>
  <c r="F37" i="1" s="1"/>
  <c r="H37" i="1"/>
  <c r="T37" i="1" s="1"/>
  <c r="G37" i="1"/>
  <c r="BA36" i="1"/>
  <c r="AW36" i="1"/>
  <c r="AU36" i="1"/>
  <c r="AS36" i="1"/>
  <c r="AQ36" i="1"/>
  <c r="AO36" i="1"/>
  <c r="AM36" i="1"/>
  <c r="AJ36" i="1"/>
  <c r="AH36" i="1"/>
  <c r="Z36" i="1"/>
  <c r="W36" i="1"/>
  <c r="H36" i="1"/>
  <c r="T36" i="1" s="1"/>
  <c r="G36" i="1"/>
  <c r="F36" i="1"/>
  <c r="BA35" i="1"/>
  <c r="AW35" i="1"/>
  <c r="AU35" i="1"/>
  <c r="AS35" i="1"/>
  <c r="AQ35" i="1"/>
  <c r="AO35" i="1"/>
  <c r="AM35" i="1"/>
  <c r="AJ35" i="1"/>
  <c r="AH35" i="1"/>
  <c r="Z35" i="1"/>
  <c r="W35" i="1"/>
  <c r="T35" i="1"/>
  <c r="F35" i="1" s="1"/>
  <c r="H35" i="1"/>
  <c r="G35" i="1"/>
  <c r="BA34" i="1"/>
  <c r="AW34" i="1"/>
  <c r="AU34" i="1"/>
  <c r="AS34" i="1"/>
  <c r="AQ34" i="1"/>
  <c r="AO34" i="1"/>
  <c r="AM34" i="1"/>
  <c r="AJ34" i="1"/>
  <c r="AH34" i="1"/>
  <c r="Z34" i="1"/>
  <c r="W34" i="1"/>
  <c r="H34" i="1"/>
  <c r="T34" i="1" s="1"/>
  <c r="F34" i="1" s="1"/>
  <c r="G34" i="1"/>
  <c r="BA33" i="1"/>
  <c r="AW33" i="1"/>
  <c r="AU33" i="1"/>
  <c r="AS33" i="1"/>
  <c r="AQ33" i="1"/>
  <c r="AO33" i="1"/>
  <c r="AM33" i="1"/>
  <c r="AJ33" i="1"/>
  <c r="AH33" i="1"/>
  <c r="Z33" i="1"/>
  <c r="W33" i="1"/>
  <c r="H33" i="1"/>
  <c r="T33" i="1" s="1"/>
  <c r="F33" i="1" s="1"/>
  <c r="G33" i="1"/>
  <c r="BA32" i="1"/>
  <c r="AW32" i="1"/>
  <c r="AU32" i="1"/>
  <c r="AS32" i="1"/>
  <c r="AQ32" i="1"/>
  <c r="AO32" i="1"/>
  <c r="AM32" i="1"/>
  <c r="AJ32" i="1"/>
  <c r="AH32" i="1"/>
  <c r="Z32" i="1"/>
  <c r="W32" i="1"/>
  <c r="H32" i="1"/>
  <c r="T32" i="1" s="1"/>
  <c r="F32" i="1" s="1"/>
  <c r="G32" i="1"/>
  <c r="BA31" i="1"/>
  <c r="AW31" i="1"/>
  <c r="AU31" i="1"/>
  <c r="AS31" i="1"/>
  <c r="AQ31" i="1"/>
  <c r="AO31" i="1"/>
  <c r="AM31" i="1"/>
  <c r="AJ31" i="1"/>
  <c r="AH31" i="1"/>
  <c r="Z31" i="1"/>
  <c r="W31" i="1"/>
  <c r="T31" i="1"/>
  <c r="F31" i="1" s="1"/>
  <c r="H31" i="1"/>
  <c r="G31" i="1"/>
  <c r="BA30" i="1"/>
  <c r="AW30" i="1"/>
  <c r="AU30" i="1"/>
  <c r="AS30" i="1"/>
  <c r="AQ30" i="1"/>
  <c r="AO30" i="1"/>
  <c r="AM30" i="1"/>
  <c r="AJ30" i="1"/>
  <c r="AH30" i="1"/>
  <c r="Z30" i="1"/>
  <c r="T30" i="1"/>
  <c r="F30" i="1" s="1"/>
  <c r="H30" i="1"/>
  <c r="G30" i="1"/>
  <c r="BA29" i="1"/>
  <c r="AW29" i="1"/>
  <c r="AU29" i="1"/>
  <c r="AS29" i="1"/>
  <c r="AQ29" i="1"/>
  <c r="AO29" i="1"/>
  <c r="AM29" i="1"/>
  <c r="AJ29" i="1"/>
  <c r="AH29" i="1"/>
  <c r="Z29" i="1"/>
  <c r="T29" i="1"/>
  <c r="H29" i="1"/>
  <c r="G29" i="1"/>
  <c r="F29" i="1"/>
  <c r="BA28" i="1"/>
  <c r="AW28" i="1"/>
  <c r="AU28" i="1"/>
  <c r="AS28" i="1"/>
  <c r="AQ28" i="1"/>
  <c r="AO28" i="1"/>
  <c r="AM28" i="1"/>
  <c r="AJ28" i="1"/>
  <c r="AH28" i="1"/>
  <c r="Z28" i="1"/>
  <c r="H28" i="1"/>
  <c r="T28" i="1" s="1"/>
  <c r="F28" i="1" s="1"/>
  <c r="G28" i="1"/>
  <c r="BA27" i="1"/>
  <c r="AW27" i="1"/>
  <c r="AU27" i="1"/>
  <c r="AS27" i="1"/>
  <c r="AQ27" i="1"/>
  <c r="AO27" i="1"/>
  <c r="AM27" i="1"/>
  <c r="F27" i="1" s="1"/>
  <c r="AJ27" i="1"/>
  <c r="AH27" i="1"/>
  <c r="Z27" i="1"/>
  <c r="H27" i="1"/>
  <c r="G27" i="1"/>
  <c r="BA26" i="1"/>
  <c r="AW26" i="1"/>
  <c r="AU26" i="1"/>
  <c r="AS26" i="1"/>
  <c r="AQ26" i="1"/>
  <c r="AO26" i="1"/>
  <c r="AM26" i="1"/>
  <c r="AJ26" i="1"/>
  <c r="F26" i="1" s="1"/>
  <c r="AH26" i="1"/>
  <c r="Z26" i="1"/>
  <c r="H26" i="1"/>
  <c r="G26" i="1"/>
  <c r="BA25" i="1"/>
  <c r="AW25" i="1"/>
  <c r="AU25" i="1"/>
  <c r="AS25" i="1"/>
  <c r="AQ25" i="1"/>
  <c r="AO25" i="1"/>
  <c r="AM25" i="1"/>
  <c r="AJ25" i="1"/>
  <c r="AH25" i="1"/>
  <c r="Z25" i="1"/>
  <c r="W25" i="1"/>
  <c r="H25" i="1"/>
  <c r="T25" i="1" s="1"/>
  <c r="F25" i="1" s="1"/>
  <c r="G25" i="1"/>
  <c r="BA24" i="1"/>
  <c r="AW24" i="1"/>
  <c r="AU24" i="1"/>
  <c r="AS24" i="1"/>
  <c r="AQ24" i="1"/>
  <c r="AO24" i="1"/>
  <c r="AM24" i="1"/>
  <c r="AJ24" i="1"/>
  <c r="AH24" i="1"/>
  <c r="Z24" i="1"/>
  <c r="W24" i="1"/>
  <c r="H24" i="1"/>
  <c r="T24" i="1" s="1"/>
  <c r="F24" i="1" s="1"/>
  <c r="G24" i="1"/>
  <c r="BA23" i="1"/>
  <c r="AW23" i="1"/>
  <c r="AU23" i="1"/>
  <c r="AS23" i="1"/>
  <c r="AQ23" i="1"/>
  <c r="AO23" i="1"/>
  <c r="AM23" i="1"/>
  <c r="AJ23" i="1"/>
  <c r="AH23" i="1"/>
  <c r="Z23" i="1"/>
  <c r="W23" i="1"/>
  <c r="H23" i="1"/>
  <c r="T23" i="1" s="1"/>
  <c r="F23" i="1" s="1"/>
  <c r="G23" i="1"/>
  <c r="BA22" i="1"/>
  <c r="AW22" i="1"/>
  <c r="AU22" i="1"/>
  <c r="AS22" i="1"/>
  <c r="AQ22" i="1"/>
  <c r="AO22" i="1"/>
  <c r="AM22" i="1"/>
  <c r="AJ22" i="1"/>
  <c r="AH22" i="1"/>
  <c r="Z22" i="1"/>
  <c r="W22" i="1"/>
  <c r="T22" i="1"/>
  <c r="F22" i="1" s="1"/>
  <c r="H22" i="1"/>
  <c r="G22" i="1"/>
  <c r="BA21" i="1"/>
  <c r="AW21" i="1"/>
  <c r="AU21" i="1"/>
  <c r="AS21" i="1"/>
  <c r="AQ21" i="1"/>
  <c r="AO21" i="1"/>
  <c r="AM21" i="1"/>
  <c r="AJ21" i="1"/>
  <c r="AH21" i="1"/>
  <c r="Z21" i="1"/>
  <c r="W21" i="1"/>
  <c r="H21" i="1"/>
  <c r="T21" i="1" s="1"/>
  <c r="F21" i="1" s="1"/>
  <c r="G21" i="1"/>
  <c r="BA20" i="1"/>
  <c r="AW20" i="1"/>
  <c r="AU20" i="1"/>
  <c r="AS20" i="1"/>
  <c r="AQ20" i="1"/>
  <c r="AO20" i="1"/>
  <c r="AM20" i="1"/>
  <c r="AJ20" i="1"/>
  <c r="AH20" i="1"/>
  <c r="Z20" i="1"/>
  <c r="W20" i="1"/>
  <c r="T20" i="1"/>
  <c r="F20" i="1" s="1"/>
  <c r="H20" i="1"/>
  <c r="G20" i="1"/>
  <c r="BA19" i="1"/>
  <c r="AW19" i="1"/>
  <c r="AU19" i="1"/>
  <c r="AS19" i="1"/>
  <c r="AQ19" i="1"/>
  <c r="AO19" i="1"/>
  <c r="AM19" i="1"/>
  <c r="AJ19" i="1"/>
  <c r="AH19" i="1"/>
  <c r="Z19" i="1"/>
  <c r="W19" i="1"/>
  <c r="H19" i="1"/>
  <c r="T19" i="1" s="1"/>
  <c r="G19" i="1"/>
  <c r="F19" i="1"/>
  <c r="BA18" i="1"/>
  <c r="AW18" i="1"/>
  <c r="AU18" i="1"/>
  <c r="AS18" i="1"/>
  <c r="AQ18" i="1"/>
  <c r="AO18" i="1"/>
  <c r="AM18" i="1"/>
  <c r="AJ18" i="1"/>
  <c r="F18" i="1" s="1"/>
  <c r="AH18" i="1"/>
  <c r="Z18" i="1"/>
  <c r="W18" i="1"/>
  <c r="H18" i="1"/>
  <c r="G18" i="1"/>
  <c r="BA17" i="1"/>
  <c r="AW17" i="1"/>
  <c r="AU17" i="1"/>
  <c r="AS17" i="1"/>
  <c r="AQ17" i="1"/>
  <c r="AO17" i="1"/>
  <c r="AM17" i="1"/>
  <c r="AJ17" i="1"/>
  <c r="AH17" i="1"/>
  <c r="Z17" i="1"/>
  <c r="W17" i="1"/>
  <c r="H17" i="1"/>
  <c r="T17" i="1" s="1"/>
  <c r="F17" i="1" s="1"/>
  <c r="G17" i="1"/>
  <c r="BA16" i="1"/>
  <c r="AW16" i="1"/>
  <c r="AU16" i="1"/>
  <c r="AS16" i="1"/>
  <c r="AQ16" i="1"/>
  <c r="AO16" i="1"/>
  <c r="AM16" i="1"/>
  <c r="AJ16" i="1"/>
  <c r="AH16" i="1"/>
  <c r="Z16" i="1"/>
  <c r="W16" i="1"/>
  <c r="H16" i="1"/>
  <c r="T16" i="1" s="1"/>
  <c r="F16" i="1" s="1"/>
  <c r="G16" i="1"/>
  <c r="BA15" i="1"/>
  <c r="AW15" i="1"/>
  <c r="AU15" i="1"/>
  <c r="AS15" i="1"/>
  <c r="AQ15" i="1"/>
  <c r="AO15" i="1"/>
  <c r="AM15" i="1"/>
  <c r="AJ15" i="1"/>
  <c r="AH15" i="1"/>
  <c r="Z15" i="1"/>
  <c r="W15" i="1"/>
  <c r="T15" i="1"/>
  <c r="F15" i="1" s="1"/>
  <c r="H15" i="1"/>
  <c r="G15" i="1"/>
  <c r="BA14" i="1"/>
  <c r="AW14" i="1"/>
  <c r="AU14" i="1"/>
  <c r="AS14" i="1"/>
  <c r="AQ14" i="1"/>
  <c r="AO14" i="1"/>
  <c r="AM14" i="1"/>
  <c r="AJ14" i="1"/>
  <c r="AH14" i="1"/>
  <c r="Z14" i="1"/>
  <c r="W14" i="1"/>
  <c r="H14" i="1"/>
  <c r="T14" i="1" s="1"/>
  <c r="F14" i="1" s="1"/>
  <c r="G14" i="1"/>
  <c r="BA13" i="1"/>
  <c r="AW13" i="1"/>
  <c r="AU13" i="1"/>
  <c r="AS13" i="1"/>
  <c r="AQ13" i="1"/>
  <c r="AO13" i="1"/>
  <c r="AM13" i="1"/>
  <c r="AJ13" i="1"/>
  <c r="AH13" i="1"/>
  <c r="Z13" i="1"/>
  <c r="W13" i="1"/>
  <c r="T13" i="1"/>
  <c r="F13" i="1" s="1"/>
  <c r="H13" i="1"/>
  <c r="G13" i="1"/>
  <c r="BA12" i="1"/>
  <c r="AW12" i="1"/>
  <c r="AU12" i="1"/>
  <c r="AS12" i="1"/>
  <c r="AQ12" i="1"/>
  <c r="AO12" i="1"/>
  <c r="AM12" i="1"/>
  <c r="AJ12" i="1"/>
  <c r="AH12" i="1"/>
  <c r="Z12" i="1"/>
  <c r="W12" i="1"/>
  <c r="H12" i="1"/>
  <c r="G12" i="1"/>
  <c r="F12" i="1"/>
  <c r="BA11" i="1"/>
  <c r="AW11" i="1"/>
  <c r="AU11" i="1"/>
  <c r="AS11" i="1"/>
  <c r="AQ11" i="1"/>
  <c r="AO11" i="1"/>
  <c r="AM11" i="1"/>
  <c r="AJ11" i="1"/>
  <c r="AH11" i="1"/>
  <c r="Z11" i="1"/>
  <c r="W11" i="1"/>
  <c r="T11" i="1"/>
  <c r="F11" i="1" s="1"/>
  <c r="H11" i="1"/>
  <c r="G11" i="1"/>
  <c r="BA10" i="1"/>
  <c r="AW10" i="1"/>
  <c r="AU10" i="1"/>
  <c r="AS10" i="1"/>
  <c r="AQ10" i="1"/>
  <c r="AO10" i="1"/>
  <c r="AM10" i="1"/>
  <c r="AJ10" i="1"/>
  <c r="AH10" i="1"/>
  <c r="AH122" i="1" s="1"/>
  <c r="Z10" i="1"/>
  <c r="W10" i="1"/>
  <c r="H10" i="1"/>
  <c r="T10" i="1" s="1"/>
  <c r="F10" i="1" s="1"/>
  <c r="G10" i="1"/>
  <c r="BA9" i="1"/>
  <c r="AW9" i="1"/>
  <c r="AU9" i="1"/>
  <c r="AS9" i="1"/>
  <c r="AQ9" i="1"/>
  <c r="AO9" i="1"/>
  <c r="AM9" i="1"/>
  <c r="AJ9" i="1"/>
  <c r="AH9" i="1"/>
  <c r="Z9" i="1"/>
  <c r="W9" i="1"/>
  <c r="F9" i="1" s="1"/>
  <c r="H9" i="1"/>
  <c r="T9" i="1" s="1"/>
  <c r="G9" i="1"/>
  <c r="BA8" i="1"/>
  <c r="AW8" i="1"/>
  <c r="AU8" i="1"/>
  <c r="AS8" i="1"/>
  <c r="AQ8" i="1"/>
  <c r="AO8" i="1"/>
  <c r="AM8" i="1"/>
  <c r="AM122" i="1" s="1"/>
  <c r="AJ8" i="1"/>
  <c r="AH8" i="1"/>
  <c r="Z8" i="1"/>
  <c r="W8" i="1"/>
  <c r="W122" i="1" s="1"/>
  <c r="T8" i="1"/>
  <c r="F8" i="1" s="1"/>
  <c r="H8" i="1"/>
  <c r="G8" i="1"/>
  <c r="BA2" i="1"/>
  <c r="AY2" i="1"/>
  <c r="AW2" i="1"/>
  <c r="AU2" i="1"/>
  <c r="AS2" i="1"/>
  <c r="AQ2" i="1"/>
  <c r="B2" i="1"/>
  <c r="AO122" i="1" l="1"/>
  <c r="F72" i="1"/>
  <c r="F46" i="1"/>
  <c r="BA122" i="1"/>
  <c r="K122" i="1"/>
  <c r="H13" i="2"/>
  <c r="H29" i="2" s="1"/>
  <c r="F42" i="1"/>
  <c r="T122" i="1"/>
  <c r="F38" i="1"/>
  <c r="F122" i="1" s="1"/>
  <c r="F53" i="1"/>
  <c r="Z122" i="1"/>
  <c r="AS122" i="1"/>
  <c r="F82" i="1"/>
  <c r="AW122" i="1"/>
  <c r="F100" i="1"/>
  <c r="I12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LINCOLN 행정</author>
    <author>Lincolnmid</author>
  </authors>
  <commentList>
    <comment ref="R59" authorId="0" shapeId="0" xr:uid="{00000000-0006-0000-0000-000001000000}">
      <text>
        <r>
          <rPr>
            <b/>
            <sz val="9"/>
            <color rgb="FF000000"/>
            <rFont val="돋움"/>
            <family val="3"/>
            <charset val="129"/>
          </rPr>
          <t>교육급여</t>
        </r>
      </text>
    </comment>
    <comment ref="R66" authorId="0" shapeId="0" xr:uid="{00000000-0006-0000-0000-000002000000}">
      <text>
        <r>
          <rPr>
            <b/>
            <sz val="9"/>
            <color rgb="FF000000"/>
            <rFont val="돋움"/>
            <family val="3"/>
            <charset val="129"/>
          </rPr>
          <t>교육급여</t>
        </r>
      </text>
    </comment>
    <comment ref="R72" authorId="0" shapeId="0" xr:uid="{00000000-0006-0000-0000-000008000000}">
      <text>
        <r>
          <rPr>
            <b/>
            <sz val="9"/>
            <color rgb="FF000000"/>
            <rFont val="돋움"/>
            <family val="3"/>
            <charset val="129"/>
          </rPr>
          <t>교육급여</t>
        </r>
      </text>
    </comment>
    <comment ref="R73" authorId="0" shapeId="0" xr:uid="{00000000-0006-0000-0000-000009000000}">
      <text>
        <r>
          <rPr>
            <b/>
            <sz val="9"/>
            <color rgb="FF000000"/>
            <rFont val="돋움"/>
            <family val="3"/>
            <charset val="129"/>
          </rPr>
          <t>교육급여</t>
        </r>
      </text>
    </comment>
    <comment ref="R74" authorId="0" shapeId="0" xr:uid="{00000000-0006-0000-0000-000007000000}">
      <text>
        <r>
          <rPr>
            <b/>
            <sz val="9"/>
            <color rgb="FF000000"/>
            <rFont val="돋움"/>
            <family val="3"/>
            <charset val="129"/>
          </rPr>
          <t>교육급여</t>
        </r>
      </text>
    </comment>
    <comment ref="R80" authorId="0" shapeId="0" xr:uid="{00000000-0006-0000-0000-000006000000}">
      <text>
        <r>
          <rPr>
            <b/>
            <sz val="9"/>
            <color rgb="FF000000"/>
            <rFont val="돋움"/>
            <family val="3"/>
            <charset val="129"/>
          </rPr>
          <t>교육급여</t>
        </r>
      </text>
    </comment>
    <comment ref="R81" authorId="0" shapeId="0" xr:uid="{00000000-0006-0000-0000-000003000000}">
      <text>
        <r>
          <rPr>
            <b/>
            <sz val="9"/>
            <color rgb="FF000000"/>
            <rFont val="돋움"/>
            <family val="3"/>
            <charset val="129"/>
          </rPr>
          <t>교육급여</t>
        </r>
      </text>
    </comment>
    <comment ref="R90" authorId="1" shapeId="0" xr:uid="{00000000-0006-0000-0000-00000B000000}">
      <text>
        <r>
          <rPr>
            <b/>
            <sz val="9"/>
            <color rgb="FF000000"/>
            <rFont val="굴림"/>
            <family val="3"/>
            <charset val="129"/>
          </rPr>
          <t xml:space="preserve">LINCOLN 행정:
</t>
        </r>
        <r>
          <rPr>
            <sz val="9"/>
            <color rgb="FF000000"/>
            <rFont val="굴림"/>
            <family val="3"/>
            <charset val="129"/>
          </rPr>
          <t xml:space="preserve">교육급여
</t>
        </r>
      </text>
    </comment>
    <comment ref="R104" authorId="0" shapeId="0" xr:uid="{00000000-0006-0000-0000-00000A000000}">
      <text>
        <r>
          <rPr>
            <b/>
            <sz val="9"/>
            <color rgb="FF000000"/>
            <rFont val="돋움"/>
            <family val="3"/>
            <charset val="129"/>
          </rPr>
          <t>교육급여</t>
        </r>
      </text>
    </comment>
    <comment ref="R114" authorId="0" shapeId="0" xr:uid="{00000000-0006-0000-0000-000005000000}">
      <text>
        <r>
          <rPr>
            <b/>
            <sz val="9"/>
            <color rgb="FF000000"/>
            <rFont val="돋움"/>
            <family val="3"/>
            <charset val="129"/>
          </rPr>
          <t>교육급여</t>
        </r>
      </text>
    </comment>
    <comment ref="R116" authorId="0" shapeId="0" xr:uid="{00000000-0006-0000-0000-000004000000}">
      <text>
        <r>
          <rPr>
            <b/>
            <sz val="9"/>
            <color rgb="FF000000"/>
            <rFont val="돋움"/>
            <family val="3"/>
            <charset val="129"/>
          </rPr>
          <t>교육급여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LINCOLN 행정</author>
  </authors>
  <commentList>
    <comment ref="G5" authorId="0" shapeId="0" xr:uid="{00000000-0006-0000-0100-000001000000}">
      <text>
        <r>
          <rPr>
            <b/>
            <sz val="9"/>
            <color rgb="FF000000"/>
            <rFont val="돋움"/>
            <family val="3"/>
            <charset val="129"/>
          </rPr>
          <t>개인정보보호를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위해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입력하신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정보는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보이지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않게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설정했습니다</t>
        </r>
        <r>
          <rPr>
            <b/>
            <sz val="9"/>
            <color rgb="FF000000"/>
            <rFont val="Tahoma"/>
            <family val="2"/>
          </rPr>
          <t xml:space="preserve">.
</t>
        </r>
        <r>
          <rPr>
            <b/>
            <sz val="9"/>
            <color rgb="FF000000"/>
            <rFont val="돋움"/>
            <family val="3"/>
            <charset val="129"/>
          </rPr>
          <t>입력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후</t>
        </r>
        <r>
          <rPr>
            <b/>
            <sz val="9"/>
            <color rgb="FF000000"/>
            <rFont val="Tahoma"/>
            <family val="2"/>
          </rPr>
          <t xml:space="preserve"> ENTER</t>
        </r>
        <r>
          <rPr>
            <b/>
            <sz val="9"/>
            <color rgb="FF000000"/>
            <rFont val="돋움"/>
            <family val="3"/>
            <charset val="129"/>
          </rPr>
          <t>키를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누르시면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청구내역을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확인하실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수</t>
        </r>
        <r>
          <rPr>
            <b/>
            <sz val="9"/>
            <color rgb="FF000000"/>
            <rFont val="Tahoma"/>
            <family val="2"/>
          </rPr>
          <t xml:space="preserve"> </t>
        </r>
        <r>
          <rPr>
            <b/>
            <sz val="9"/>
            <color rgb="FF000000"/>
            <rFont val="돋움"/>
            <family val="3"/>
            <charset val="129"/>
          </rPr>
          <t>있습니다</t>
        </r>
        <r>
          <rPr>
            <b/>
            <sz val="9"/>
            <color rgb="FF000000"/>
            <rFont val="Tahoma"/>
            <family val="2"/>
          </rPr>
          <t>.</t>
        </r>
      </text>
    </comment>
  </commentList>
</comments>
</file>

<file path=xl/sharedStrings.xml><?xml version="1.0" encoding="utf-8"?>
<sst xmlns="http://schemas.openxmlformats.org/spreadsheetml/2006/main" count="381" uniqueCount="284">
  <si>
    <t>3320919</t>
  </si>
  <si>
    <t>2,3,4분기</t>
  </si>
  <si>
    <t>10~2월분</t>
  </si>
  <si>
    <t>1~2월</t>
  </si>
  <si>
    <t>3095414</t>
  </si>
  <si>
    <t>12~1월분</t>
  </si>
  <si>
    <t>3412317</t>
  </si>
  <si>
    <t>3735124</t>
  </si>
  <si>
    <t>장학금 차감</t>
  </si>
  <si>
    <t>병원교통비</t>
  </si>
  <si>
    <t>4063415</t>
  </si>
  <si>
    <t>졸업여행비</t>
  </si>
  <si>
    <t>3122219</t>
  </si>
  <si>
    <t>3184910</t>
  </si>
  <si>
    <t>3561117</t>
  </si>
  <si>
    <t>졸업앨범비</t>
  </si>
  <si>
    <t>3410310</t>
  </si>
  <si>
    <t>3094919</t>
  </si>
  <si>
    <t>3495911</t>
  </si>
  <si>
    <t>기숙사비</t>
  </si>
  <si>
    <t>링컨학교장</t>
  </si>
  <si>
    <t>3918515</t>
  </si>
  <si>
    <t>이하은(전주)</t>
  </si>
  <si>
    <t>3000816</t>
  </si>
  <si>
    <t>교재비정산</t>
  </si>
  <si>
    <t>3058512</t>
  </si>
  <si>
    <t>비고(메모)</t>
  </si>
  <si>
    <t>3588310</t>
  </si>
  <si>
    <t>구강검진비</t>
  </si>
  <si>
    <t>4183013</t>
  </si>
  <si>
    <t>건강검진비</t>
  </si>
  <si>
    <t>합    계</t>
  </si>
  <si>
    <t>미납메모</t>
  </si>
  <si>
    <t>3566313</t>
  </si>
  <si>
    <t>3217020</t>
  </si>
  <si>
    <t>3446725</t>
  </si>
  <si>
    <t>3078311</t>
  </si>
  <si>
    <t>4580749</t>
  </si>
  <si>
    <t>4064010</t>
  </si>
  <si>
    <t>4171011</t>
  </si>
  <si>
    <t>4122221</t>
  </si>
  <si>
    <t>3682510</t>
  </si>
  <si>
    <t>3070613</t>
  </si>
  <si>
    <t>3164214</t>
  </si>
  <si>
    <t>4173720</t>
  </si>
  <si>
    <t>4279413</t>
  </si>
  <si>
    <t>3352013</t>
  </si>
  <si>
    <t>4484414</t>
  </si>
  <si>
    <t>4351413</t>
  </si>
  <si>
    <t>3692111</t>
  </si>
  <si>
    <t>3183034</t>
  </si>
  <si>
    <t>3105519</t>
  </si>
  <si>
    <t>4625818</t>
  </si>
  <si>
    <t>4483522</t>
  </si>
  <si>
    <t>3074014</t>
  </si>
  <si>
    <t>3077210</t>
  </si>
  <si>
    <t>4162813</t>
  </si>
  <si>
    <t>3185017</t>
  </si>
  <si>
    <t>3484417</t>
  </si>
  <si>
    <t>3074011</t>
  </si>
  <si>
    <t>4692317</t>
  </si>
  <si>
    <t>3124416</t>
  </si>
  <si>
    <t>4861917</t>
  </si>
  <si>
    <t>3727410</t>
  </si>
  <si>
    <t>3823314</t>
  </si>
  <si>
    <t>3482918</t>
  </si>
  <si>
    <t>3066541</t>
  </si>
  <si>
    <t>4243126</t>
  </si>
  <si>
    <t>4122214</t>
  </si>
  <si>
    <t>4580818</t>
  </si>
  <si>
    <t>4183017</t>
  </si>
  <si>
    <t>3685919</t>
  </si>
  <si>
    <t>3125011</t>
  </si>
  <si>
    <t>4080415</t>
  </si>
  <si>
    <t>4801211</t>
  </si>
  <si>
    <t>3411627</t>
  </si>
  <si>
    <t>4080424</t>
  </si>
  <si>
    <t>현장체험학습비</t>
  </si>
  <si>
    <t>3184715</t>
  </si>
  <si>
    <t>3409319</t>
  </si>
  <si>
    <t>4937315</t>
  </si>
  <si>
    <t>4484312</t>
  </si>
  <si>
    <t>4406415</t>
  </si>
  <si>
    <t>3477914</t>
  </si>
  <si>
    <t>4122218</t>
  </si>
  <si>
    <t>3401815</t>
  </si>
  <si>
    <t>3715511</t>
  </si>
  <si>
    <t>4082936</t>
  </si>
  <si>
    <t>4680123</t>
  </si>
  <si>
    <t>3222439</t>
  </si>
  <si>
    <t>3178715</t>
  </si>
  <si>
    <t>3012024</t>
  </si>
  <si>
    <t>3080417</t>
  </si>
  <si>
    <t>4192414</t>
  </si>
  <si>
    <t>4697839</t>
  </si>
  <si>
    <t>4785311</t>
  </si>
  <si>
    <t>4117427</t>
  </si>
  <si>
    <t>3075814</t>
  </si>
  <si>
    <t>4449515</t>
  </si>
  <si>
    <t>4408318</t>
  </si>
  <si>
    <t>4199118</t>
  </si>
  <si>
    <t>4080417</t>
  </si>
  <si>
    <t>3069511</t>
  </si>
  <si>
    <t>4187912</t>
  </si>
  <si>
    <t>3243310</t>
  </si>
  <si>
    <t>4481915</t>
  </si>
  <si>
    <t>3187112</t>
  </si>
  <si>
    <t>4183015</t>
  </si>
  <si>
    <t>4852210</t>
  </si>
  <si>
    <t>4113918</t>
  </si>
  <si>
    <t>3054523</t>
  </si>
  <si>
    <t>이름 :</t>
  </si>
  <si>
    <t>4874227</t>
  </si>
  <si>
    <t>3408715</t>
  </si>
  <si>
    <t>4227814</t>
  </si>
  <si>
    <t>3072537</t>
  </si>
  <si>
    <t>4590322</t>
  </si>
  <si>
    <t>3810115</t>
  </si>
  <si>
    <t>4122213</t>
  </si>
  <si>
    <t>3052312</t>
  </si>
  <si>
    <t>12~2월분</t>
  </si>
  <si>
    <t>4059310</t>
  </si>
  <si>
    <t>3,4분기</t>
  </si>
  <si>
    <t>3169618</t>
  </si>
  <si>
    <t>3408728</t>
  </si>
  <si>
    <t>3011921</t>
  </si>
  <si>
    <t>4188412</t>
  </si>
  <si>
    <t>3748113</t>
  </si>
  <si>
    <t>1~2월분</t>
  </si>
  <si>
    <t>3412455</t>
  </si>
  <si>
    <t>11~2월분</t>
  </si>
  <si>
    <t>4697924</t>
  </si>
  <si>
    <t>4519812</t>
  </si>
  <si>
    <t>3504714</t>
  </si>
  <si>
    <t>학생
주민등록번호
뒷자리</t>
  </si>
  <si>
    <t>2018년학년도 정산서</t>
  </si>
  <si>
    <t>학생 주민등록번호 뒷자리 :</t>
  </si>
  <si>
    <t>1~2</t>
  </si>
  <si>
    <t>미납분</t>
  </si>
  <si>
    <t>4분기</t>
  </si>
  <si>
    <t>)</t>
  </si>
  <si>
    <t>12월</t>
  </si>
  <si>
    <t>원</t>
  </si>
  <si>
    <t>No.</t>
  </si>
  <si>
    <t>급식비</t>
  </si>
  <si>
    <t>우유비</t>
  </si>
  <si>
    <t>정산서</t>
  </si>
  <si>
    <r>
      <rPr>
        <b/>
        <sz val="11"/>
        <color rgb="FF000000"/>
        <rFont val="맑은 고딕"/>
        <family val="3"/>
        <charset val="129"/>
      </rPr>
      <t>고</t>
    </r>
    <r>
      <rPr>
        <sz val="11"/>
        <color rgb="FF000000"/>
        <rFont val="맑은 고딕"/>
        <family val="3"/>
        <charset val="129"/>
      </rPr>
      <t xml:space="preserve"> (</t>
    </r>
  </si>
  <si>
    <t>수업료</t>
  </si>
  <si>
    <t>학생명</t>
  </si>
  <si>
    <t>기준</t>
  </si>
  <si>
    <t>선입금</t>
  </si>
  <si>
    <t>학년</t>
  </si>
  <si>
    <t>횟수</t>
  </si>
  <si>
    <t>체크</t>
  </si>
  <si>
    <t>1월분</t>
  </si>
  <si>
    <t>장학금</t>
  </si>
  <si>
    <t>총계</t>
  </si>
  <si>
    <t>권영재</t>
  </si>
  <si>
    <t>금액</t>
  </si>
  <si>
    <t>월</t>
  </si>
  <si>
    <t>년</t>
  </si>
  <si>
    <t>김시은</t>
  </si>
  <si>
    <t>이혜은</t>
  </si>
  <si>
    <t>2018학년도
정산분</t>
  </si>
  <si>
    <t>2018년 4분기</t>
  </si>
  <si>
    <t>3850616p</t>
  </si>
  <si>
    <t>3850616j</t>
  </si>
  <si>
    <t>위 금액을 청구함. (2019년 1월 18일 입금기준)</t>
  </si>
  <si>
    <t>이후 미납금에 대해서는 수시로 스쿨뱅킹이 진행됩니다.</t>
  </si>
  <si>
    <t>스쿨뱅킹 납기 마감일 : '19. 1. 30. (수)</t>
  </si>
  <si>
    <t>전은성</t>
  </si>
  <si>
    <t>이예은</t>
  </si>
  <si>
    <t>김유진</t>
  </si>
  <si>
    <t>이윤수</t>
  </si>
  <si>
    <t>노유진</t>
  </si>
  <si>
    <t>최주민</t>
  </si>
  <si>
    <t>임명규</t>
  </si>
  <si>
    <t>이상훈</t>
  </si>
  <si>
    <t>공희진</t>
  </si>
  <si>
    <t>박서영</t>
  </si>
  <si>
    <t>김원중</t>
  </si>
  <si>
    <t>유주연</t>
  </si>
  <si>
    <t xml:space="preserve"> </t>
  </si>
  <si>
    <t>유다은</t>
  </si>
  <si>
    <t>정금오</t>
  </si>
  <si>
    <t>유주원</t>
  </si>
  <si>
    <t>조웅식</t>
  </si>
  <si>
    <t>방소연</t>
  </si>
  <si>
    <t>최하영</t>
  </si>
  <si>
    <t>이동주</t>
  </si>
  <si>
    <t>임주성</t>
  </si>
  <si>
    <t>신진식</t>
  </si>
  <si>
    <t>박동건</t>
  </si>
  <si>
    <t>한요한</t>
  </si>
  <si>
    <t>정은수</t>
  </si>
  <si>
    <t>양예나</t>
  </si>
  <si>
    <t>우제훈</t>
  </si>
  <si>
    <t>최경식</t>
  </si>
  <si>
    <t>김성동</t>
  </si>
  <si>
    <t>김서영</t>
  </si>
  <si>
    <t>장성현</t>
  </si>
  <si>
    <t>김주경</t>
  </si>
  <si>
    <t>정종은</t>
  </si>
  <si>
    <t>배건열</t>
  </si>
  <si>
    <t>강지연</t>
  </si>
  <si>
    <t>이나윤</t>
  </si>
  <si>
    <t>이원호</t>
  </si>
  <si>
    <t>차원우</t>
  </si>
  <si>
    <t>박경주</t>
  </si>
  <si>
    <t>배소진</t>
  </si>
  <si>
    <t>이병준</t>
  </si>
  <si>
    <t>이경민</t>
  </si>
  <si>
    <t>정영호</t>
  </si>
  <si>
    <t>조상현</t>
  </si>
  <si>
    <t>정다영</t>
  </si>
  <si>
    <t>조서영</t>
  </si>
  <si>
    <t>변하은</t>
  </si>
  <si>
    <t>이하은</t>
  </si>
  <si>
    <t>차유경</t>
  </si>
  <si>
    <t>안지민</t>
  </si>
  <si>
    <t>오영훈</t>
  </si>
  <si>
    <t>김찬영</t>
  </si>
  <si>
    <t>신영은</t>
  </si>
  <si>
    <t>강민수</t>
  </si>
  <si>
    <t>박경인</t>
  </si>
  <si>
    <t>박원빈</t>
  </si>
  <si>
    <t>박예은</t>
  </si>
  <si>
    <t>문윤정</t>
  </si>
  <si>
    <t>손이경</t>
  </si>
  <si>
    <t>한예진</t>
  </si>
  <si>
    <t>최지민</t>
  </si>
  <si>
    <t>홍용기</t>
  </si>
  <si>
    <t>조하영</t>
  </si>
  <si>
    <t>강찬영</t>
  </si>
  <si>
    <t>이평주</t>
  </si>
  <si>
    <t>성치호</t>
  </si>
  <si>
    <t>김민석</t>
  </si>
  <si>
    <t>이주성</t>
  </si>
  <si>
    <t>김은주</t>
  </si>
  <si>
    <t>손예진</t>
  </si>
  <si>
    <t>배문성</t>
  </si>
  <si>
    <t>남영우</t>
  </si>
  <si>
    <t>박호근</t>
  </si>
  <si>
    <t>최은비</t>
  </si>
  <si>
    <t>윤우진</t>
  </si>
  <si>
    <t>문은영</t>
  </si>
  <si>
    <t>김혜원</t>
  </si>
  <si>
    <t>윤영주</t>
  </si>
  <si>
    <t>이우림</t>
  </si>
  <si>
    <t>이다은</t>
  </si>
  <si>
    <t>하경훈</t>
  </si>
  <si>
    <t>변우림</t>
  </si>
  <si>
    <t>배유미</t>
  </si>
  <si>
    <t>김은창</t>
  </si>
  <si>
    <t>정한솔</t>
  </si>
  <si>
    <t>박수은</t>
  </si>
  <si>
    <t>서예원</t>
  </si>
  <si>
    <t>조겸전</t>
  </si>
  <si>
    <t>이성준</t>
  </si>
  <si>
    <t>이주연</t>
  </si>
  <si>
    <t>이욱진</t>
  </si>
  <si>
    <t>이승현</t>
  </si>
  <si>
    <t>김다은</t>
  </si>
  <si>
    <t>권기성</t>
  </si>
  <si>
    <t>배민수</t>
  </si>
  <si>
    <t>고경남</t>
  </si>
  <si>
    <t>김희경</t>
  </si>
  <si>
    <t>정지윤</t>
  </si>
  <si>
    <t>배태일</t>
  </si>
  <si>
    <t>홍승표</t>
  </si>
  <si>
    <t>한소희</t>
  </si>
  <si>
    <t>임평강</t>
  </si>
  <si>
    <t>강성주</t>
  </si>
  <si>
    <t>신채린</t>
  </si>
  <si>
    <t>송준서</t>
  </si>
  <si>
    <t>김선교</t>
  </si>
  <si>
    <t>김서안</t>
  </si>
  <si>
    <t>우소정</t>
  </si>
  <si>
    <t>권민</t>
  </si>
  <si>
    <t>최예지</t>
  </si>
  <si>
    <t>장영화</t>
  </si>
  <si>
    <t>2019. 1. 23.</t>
  </si>
  <si>
    <t>OFF</t>
    <phoneticPr fontId="3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</si>
</sst>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₩&quot;#,##0;[Red]\-&quot;₩&quot;#,##0"/>
    <numFmt numFmtId="41" formatCode="_-* #,##0_-;\-* #,##0_-;_-* &quot;-&quot;_-;_-@_-"/>
    <numFmt numFmtId="176" formatCode="yyyy\.mm\.dd\."/>
    <numFmt numFmtId="177" formatCode="&quot;₩&quot;#,##0_);[Red]\(&quot;₩&quot;#,##0\)"/>
    <numFmt numFmtId="178" formatCode="0_);[Red]\(0\)"/>
    <numFmt numFmtId="179" formatCode="&quot;₩&quot;#,##0"/>
  </numFmts>
  <fonts count="32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b/>
      <sz val="18"/>
      <color rgb="FF000000"/>
      <name val="HY헤드라인M"/>
      <family val="1"/>
      <charset val="129"/>
    </font>
    <font>
      <sz val="18"/>
      <color rgb="FF000000"/>
      <name val="맑은 고딕"/>
      <family val="3"/>
      <charset val="129"/>
    </font>
    <font>
      <b/>
      <sz val="11"/>
      <color rgb="FF000000"/>
      <name val="궁서체"/>
      <family val="1"/>
      <charset val="129"/>
    </font>
    <font>
      <sz val="10"/>
      <color rgb="FF000000"/>
      <name val="맑은 고딕"/>
      <family val="3"/>
      <charset val="129"/>
    </font>
    <font>
      <b/>
      <sz val="8"/>
      <color rgb="FF000000"/>
      <name val="맑은 고딕"/>
      <family val="3"/>
      <charset val="129"/>
    </font>
    <font>
      <sz val="8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8"/>
      <color rgb="FFC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sz val="8"/>
      <color rgb="FF2E75B6"/>
      <name val="맑은 고딕"/>
      <family val="3"/>
      <charset val="129"/>
    </font>
    <font>
      <sz val="16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0070C0"/>
      <name val="맑은 고딕"/>
      <family val="3"/>
      <charset val="129"/>
    </font>
    <font>
      <sz val="6"/>
      <color rgb="FF000000"/>
      <name val="맑은 고딕"/>
      <family val="3"/>
      <charset val="129"/>
    </font>
    <font>
      <sz val="8"/>
      <color rgb="FF000000"/>
      <name val="Arial"/>
    </font>
    <font>
      <b/>
      <sz val="14"/>
      <color rgb="FF0070C0"/>
      <name val="맑은 고딕"/>
      <family val="3"/>
      <charset val="129"/>
    </font>
    <font>
      <b/>
      <sz val="12"/>
      <color rgb="FF000000"/>
      <name val="HY헤드라인M"/>
      <family val="1"/>
      <charset val="129"/>
    </font>
    <font>
      <sz val="12"/>
      <color rgb="FF0070C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sz val="12"/>
      <color rgb="FF00B050"/>
      <name val="맑은 고딕"/>
      <family val="3"/>
      <charset val="129"/>
    </font>
    <font>
      <b/>
      <sz val="16"/>
      <color rgb="FF0070C0"/>
      <name val="맑은 고딕"/>
      <family val="3"/>
      <charset val="129"/>
    </font>
    <font>
      <b/>
      <sz val="22"/>
      <color rgb="FF000000"/>
      <name val="HY목각파임B"/>
      <family val="1"/>
      <charset val="129"/>
    </font>
    <font>
      <b/>
      <sz val="28"/>
      <color rgb="FF000000"/>
      <name val="HY목각파임B"/>
      <family val="1"/>
      <charset val="129"/>
    </font>
    <font>
      <sz val="16"/>
      <color rgb="FF000000"/>
      <name val="HY크리스탈M"/>
      <family val="3"/>
      <charset val="129"/>
    </font>
    <font>
      <b/>
      <sz val="9"/>
      <color rgb="FF000000"/>
      <name val="돋움"/>
      <family val="3"/>
      <charset val="129"/>
    </font>
    <font>
      <b/>
      <sz val="9"/>
      <color rgb="FF000000"/>
      <name val="굴림"/>
      <family val="3"/>
      <charset val="129"/>
    </font>
    <font>
      <sz val="9"/>
      <color rgb="FF000000"/>
      <name val="굴림"/>
      <family val="3"/>
      <charset val="129"/>
    </font>
    <font>
      <b/>
      <sz val="9"/>
      <color rgb="FF000000"/>
      <name val="Tahoma"/>
      <family val="2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E2F0D9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73">
    <border>
      <left/>
      <right/>
      <top/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41" fontId="30" fillId="0" borderId="0">
      <alignment vertical="center"/>
    </xf>
  </cellStyleXfs>
  <cellXfs count="238">
    <xf numFmtId="0" fontId="0" fillId="0" borderId="0" xfId="0" applyNumberFormat="1">
      <alignment vertical="center"/>
    </xf>
    <xf numFmtId="0" fontId="7" fillId="0" borderId="42" xfId="0" applyNumberFormat="1" applyFont="1" applyFill="1" applyBorder="1" applyAlignment="1" applyProtection="1">
      <alignment horizontal="center" vertical="center" wrapText="1" shrinkToFit="1"/>
    </xf>
    <xf numFmtId="0" fontId="7" fillId="0" borderId="52" xfId="0" applyNumberFormat="1" applyFont="1" applyFill="1" applyBorder="1" applyAlignment="1" applyProtection="1">
      <alignment horizontal="center" vertical="center" wrapText="1" shrinkToFit="1"/>
    </xf>
    <xf numFmtId="0" fontId="7" fillId="0" borderId="6" xfId="0" applyNumberFormat="1" applyFont="1" applyFill="1" applyBorder="1" applyAlignment="1" applyProtection="1">
      <alignment horizontal="center" vertical="center" shrinkToFit="1"/>
    </xf>
    <xf numFmtId="0" fontId="7" fillId="0" borderId="51" xfId="0" applyNumberFormat="1" applyFont="1" applyFill="1" applyBorder="1" applyAlignment="1" applyProtection="1">
      <alignment horizontal="center" vertical="center" shrinkToFit="1"/>
    </xf>
    <xf numFmtId="0" fontId="7" fillId="0" borderId="50" xfId="0" applyNumberFormat="1" applyFont="1" applyFill="1" applyBorder="1" applyAlignment="1" applyProtection="1">
      <alignment horizontal="center" vertical="center" shrinkToFit="1"/>
    </xf>
    <xf numFmtId="0" fontId="7" fillId="0" borderId="49" xfId="0" quotePrefix="1" applyNumberFormat="1" applyFont="1" applyFill="1" applyBorder="1" applyAlignment="1" applyProtection="1">
      <alignment horizontal="center" vertical="center" shrinkToFit="1"/>
    </xf>
    <xf numFmtId="0" fontId="8" fillId="0" borderId="7" xfId="0" applyNumberFormat="1" applyFont="1" applyFill="1" applyBorder="1" applyAlignment="1" applyProtection="1">
      <alignment horizontal="center" vertical="center" shrinkToFit="1"/>
    </xf>
    <xf numFmtId="0" fontId="8" fillId="0" borderId="48" xfId="0" applyNumberFormat="1" applyFont="1" applyFill="1" applyBorder="1" applyAlignment="1" applyProtection="1">
      <alignment horizontal="center" vertical="center" shrinkToFit="1"/>
    </xf>
    <xf numFmtId="0" fontId="7" fillId="0" borderId="47" xfId="0" applyNumberFormat="1" applyFont="1" applyFill="1" applyBorder="1" applyAlignment="1" applyProtection="1">
      <alignment horizontal="center" vertical="center" wrapText="1" shrinkToFit="1"/>
    </xf>
    <xf numFmtId="0" fontId="7" fillId="0" borderId="46" xfId="0" applyNumberFormat="1" applyFont="1" applyFill="1" applyBorder="1" applyAlignment="1" applyProtection="1">
      <alignment horizontal="center" vertical="center" wrapText="1" shrinkToFit="1"/>
    </xf>
    <xf numFmtId="0" fontId="7" fillId="0" borderId="45" xfId="0" applyNumberFormat="1" applyFont="1" applyFill="1" applyBorder="1" applyAlignment="1" applyProtection="1">
      <alignment horizontal="center" vertical="center" wrapText="1" shrinkToFit="1"/>
    </xf>
    <xf numFmtId="178" fontId="15" fillId="0" borderId="44" xfId="0" applyNumberFormat="1" applyFont="1" applyFill="1" applyBorder="1" applyAlignment="1" applyProtection="1">
      <alignment horizontal="center" vertical="center" shrinkToFit="1"/>
    </xf>
    <xf numFmtId="178" fontId="15" fillId="0" borderId="43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Font="1" applyAlignment="1"/>
    <xf numFmtId="0" fontId="0" fillId="0" borderId="0" xfId="0" applyNumberFormat="1" applyFill="1" applyAlignment="1"/>
    <xf numFmtId="0" fontId="4" fillId="0" borderId="0" xfId="0" applyNumberFormat="1" applyFont="1" applyAlignment="1">
      <alignment horizontal="center" vertical="top"/>
    </xf>
    <xf numFmtId="0" fontId="0" fillId="0" borderId="0" xfId="0" applyNumberFormat="1" applyFont="1" applyAlignment="1">
      <alignment vertical="center"/>
    </xf>
    <xf numFmtId="0" fontId="5" fillId="0" borderId="0" xfId="0" applyNumberFormat="1" applyFont="1" applyFill="1" applyAlignment="1" applyProtection="1">
      <alignment horizontal="center" vertical="center"/>
    </xf>
    <xf numFmtId="178" fontId="5" fillId="0" borderId="0" xfId="0" applyNumberFormat="1" applyFont="1" applyFill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horizontal="center" vertical="center" wrapText="1"/>
    </xf>
    <xf numFmtId="0" fontId="5" fillId="0" borderId="0" xfId="0" applyNumberFormat="1" applyFont="1" applyFill="1" applyAlignment="1" applyProtection="1">
      <alignment horizontal="center" vertical="center" shrinkToFit="1"/>
    </xf>
    <xf numFmtId="41" fontId="5" fillId="0" borderId="0" xfId="1" applyNumberFormat="1" applyFont="1" applyFill="1" applyAlignment="1" applyProtection="1">
      <alignment horizontal="center" vertical="center" wrapText="1"/>
    </xf>
    <xf numFmtId="0" fontId="5" fillId="0" borderId="0" xfId="1" applyNumberFormat="1" applyFont="1" applyFill="1" applyAlignment="1" applyProtection="1">
      <alignment horizontal="center" vertical="center" shrinkToFit="1"/>
    </xf>
    <xf numFmtId="0" fontId="5" fillId="0" borderId="0" xfId="0" applyNumberFormat="1" applyFont="1" applyFill="1" applyAlignment="1" applyProtection="1">
      <alignment horizontal="center" vertical="center" wrapText="1"/>
    </xf>
    <xf numFmtId="0" fontId="5" fillId="0" borderId="0" xfId="1" applyNumberFormat="1" applyFont="1" applyFill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vertical="center"/>
    </xf>
    <xf numFmtId="0" fontId="6" fillId="3" borderId="5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Border="1" applyAlignment="1" applyProtection="1">
      <alignment horizontal="center" vertical="center" shrinkToFi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178" fontId="8" fillId="0" borderId="0" xfId="0" quotePrefix="1" applyNumberFormat="1" applyFont="1" applyFill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horizontal="center" vertical="center"/>
    </xf>
    <xf numFmtId="178" fontId="5" fillId="0" borderId="0" xfId="0" applyNumberFormat="1" applyFont="1" applyFill="1" applyAlignment="1" applyProtection="1">
      <alignment horizontal="center" vertical="center" shrinkToFit="1"/>
    </xf>
    <xf numFmtId="0" fontId="5" fillId="0" borderId="0" xfId="0" applyNumberFormat="1" applyFont="1" applyFill="1" applyAlignment="1" applyProtection="1">
      <alignment horizontal="center" vertical="center" shrinkToFit="1"/>
    </xf>
    <xf numFmtId="0" fontId="5" fillId="0" borderId="0" xfId="0" applyNumberFormat="1" applyFont="1" applyFill="1" applyAlignment="1" applyProtection="1">
      <alignment horizontal="center" vertical="center" shrinkToFit="1"/>
    </xf>
    <xf numFmtId="0" fontId="7" fillId="0" borderId="0" xfId="0" applyNumberFormat="1" applyFont="1" applyFill="1" applyAlignment="1" applyProtection="1">
      <alignment horizontal="center" vertical="center" shrinkToFit="1"/>
    </xf>
    <xf numFmtId="0" fontId="7" fillId="0" borderId="0" xfId="0" applyNumberFormat="1" applyFont="1" applyFill="1" applyAlignment="1" applyProtection="1">
      <alignment horizontal="center" vertical="center"/>
    </xf>
    <xf numFmtId="0" fontId="7" fillId="0" borderId="6" xfId="1" applyNumberFormat="1" applyFont="1" applyFill="1" applyBorder="1" applyAlignment="1" applyProtection="1">
      <alignment horizontal="center" vertical="center" wrapText="1" shrinkToFit="1"/>
    </xf>
    <xf numFmtId="0" fontId="7" fillId="0" borderId="7" xfId="1" applyNumberFormat="1" applyFont="1" applyFill="1" applyBorder="1" applyAlignment="1" applyProtection="1">
      <alignment horizontal="center" vertical="center" wrapText="1" shrinkToFit="1"/>
    </xf>
    <xf numFmtId="0" fontId="7" fillId="0" borderId="8" xfId="1" applyNumberFormat="1" applyFont="1" applyFill="1" applyBorder="1" applyAlignment="1" applyProtection="1">
      <alignment horizontal="center" vertical="center" wrapText="1" shrinkToFit="1"/>
    </xf>
    <xf numFmtId="0" fontId="7" fillId="0" borderId="8" xfId="1" applyNumberFormat="1" applyFont="1" applyFill="1" applyBorder="1" applyAlignment="1" applyProtection="1">
      <alignment vertical="center" wrapText="1" shrinkToFit="1"/>
    </xf>
    <xf numFmtId="177" fontId="9" fillId="0" borderId="9" xfId="1" applyNumberFormat="1" applyFont="1" applyFill="1" applyBorder="1" applyAlignment="1" applyProtection="1">
      <alignment horizontal="center" vertical="center" wrapText="1" shrinkToFit="1"/>
    </xf>
    <xf numFmtId="0" fontId="7" fillId="0" borderId="0" xfId="0" applyNumberFormat="1" applyFont="1" applyFill="1" applyAlignment="1" applyProtection="1">
      <alignment horizontal="center" vertical="center" wrapText="1"/>
    </xf>
    <xf numFmtId="41" fontId="7" fillId="0" borderId="0" xfId="1" applyNumberFormat="1" applyFont="1" applyFill="1" applyBorder="1" applyAlignment="1" applyProtection="1">
      <alignment horizontal="center" vertical="center" wrapText="1"/>
    </xf>
    <xf numFmtId="0" fontId="7" fillId="0" borderId="0" xfId="1" applyNumberFormat="1" applyFont="1" applyFill="1" applyBorder="1" applyAlignment="1" applyProtection="1">
      <alignment horizontal="center" vertical="center" shrinkToFit="1"/>
    </xf>
    <xf numFmtId="41" fontId="7" fillId="0" borderId="0" xfId="1" applyNumberFormat="1" applyFont="1" applyFill="1" applyAlignment="1" applyProtection="1">
      <alignment horizontal="center" vertical="center" wrapText="1"/>
    </xf>
    <xf numFmtId="0" fontId="7" fillId="0" borderId="0" xfId="1" applyNumberFormat="1" applyFont="1" applyFill="1" applyAlignment="1" applyProtection="1">
      <alignment horizontal="center" vertical="center" shrinkToFit="1"/>
    </xf>
    <xf numFmtId="0" fontId="7" fillId="0" borderId="0" xfId="0" applyNumberFormat="1" applyFont="1" applyFill="1" applyAlignment="1" applyProtection="1">
      <alignment horizontal="center" vertical="center" wrapText="1"/>
    </xf>
    <xf numFmtId="0" fontId="7" fillId="0" borderId="0" xfId="1" applyNumberFormat="1" applyFont="1" applyFill="1" applyAlignment="1" applyProtection="1">
      <alignment horizontal="center" vertical="center" wrapText="1"/>
    </xf>
    <xf numFmtId="49" fontId="5" fillId="0" borderId="0" xfId="0" applyNumberFormat="1" applyFont="1" applyFill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 shrinkToFi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shrinkToFit="1"/>
    </xf>
    <xf numFmtId="177" fontId="7" fillId="0" borderId="9" xfId="1" applyNumberFormat="1" applyFont="1" applyFill="1" applyBorder="1" applyAlignment="1" applyProtection="1">
      <alignment horizontal="center" vertical="center" wrapText="1" shrinkToFit="1"/>
    </xf>
    <xf numFmtId="0" fontId="10" fillId="0" borderId="10" xfId="0" applyNumberFormat="1" applyFont="1" applyFill="1" applyBorder="1" applyAlignment="1" applyProtection="1">
      <alignment horizontal="center" vertical="center" shrinkToFit="1"/>
    </xf>
    <xf numFmtId="178" fontId="5" fillId="0" borderId="0" xfId="0" applyNumberFormat="1" applyFont="1" applyFill="1" applyAlignment="1" applyProtection="1">
      <alignment horizontal="center" vertical="center" shrinkToFit="1"/>
    </xf>
    <xf numFmtId="0" fontId="5" fillId="0" borderId="0" xfId="0" applyNumberFormat="1" applyFont="1" applyFill="1" applyAlignment="1" applyProtection="1">
      <alignment horizontal="center" vertical="center"/>
    </xf>
    <xf numFmtId="178" fontId="5" fillId="0" borderId="0" xfId="0" applyNumberFormat="1" applyFont="1" applyFill="1" applyAlignment="1" applyProtection="1">
      <alignment horizontal="center" vertical="center"/>
    </xf>
    <xf numFmtId="0" fontId="7" fillId="0" borderId="0" xfId="0" applyNumberFormat="1" applyFont="1" applyFill="1" applyAlignment="1" applyProtection="1">
      <alignment horizontal="center" vertical="center" wrapText="1"/>
    </xf>
    <xf numFmtId="41" fontId="7" fillId="0" borderId="0" xfId="1" applyNumberFormat="1" applyFont="1" applyFill="1" applyBorder="1" applyAlignment="1" applyProtection="1">
      <alignment horizontal="center" vertical="center" wrapText="1"/>
    </xf>
    <xf numFmtId="0" fontId="7" fillId="0" borderId="0" xfId="1" applyNumberFormat="1" applyFont="1" applyFill="1" applyBorder="1" applyAlignment="1" applyProtection="1">
      <alignment horizontal="center" vertical="center" shrinkToFit="1"/>
    </xf>
    <xf numFmtId="41" fontId="7" fillId="0" borderId="0" xfId="1" applyNumberFormat="1" applyFont="1" applyFill="1" applyAlignment="1" applyProtection="1">
      <alignment horizontal="center" vertical="center" wrapText="1"/>
    </xf>
    <xf numFmtId="0" fontId="7" fillId="0" borderId="0" xfId="1" applyNumberFormat="1" applyFont="1" applyFill="1" applyAlignment="1" applyProtection="1">
      <alignment horizontal="center" vertical="center" shrinkToFit="1"/>
    </xf>
    <xf numFmtId="0" fontId="7" fillId="0" borderId="0" xfId="0" applyNumberFormat="1" applyFont="1" applyFill="1" applyAlignment="1" applyProtection="1">
      <alignment horizontal="center" vertical="center" wrapText="1"/>
    </xf>
    <xf numFmtId="0" fontId="7" fillId="0" borderId="0" xfId="1" applyNumberFormat="1" applyFont="1" applyFill="1" applyAlignment="1" applyProtection="1">
      <alignment horizontal="center" vertical="center" wrapText="1"/>
    </xf>
    <xf numFmtId="0" fontId="7" fillId="0" borderId="0" xfId="0" applyNumberFormat="1" applyFont="1" applyFill="1" applyAlignment="1" applyProtection="1">
      <alignment horizontal="center" vertical="center" shrinkToFit="1"/>
    </xf>
    <xf numFmtId="178" fontId="5" fillId="0" borderId="5" xfId="0" applyNumberFormat="1" applyFont="1" applyFill="1" applyBorder="1" applyAlignment="1" applyProtection="1">
      <alignment horizontal="center" vertical="center" shrinkToFit="1"/>
    </xf>
    <xf numFmtId="0" fontId="5" fillId="0" borderId="5" xfId="0" applyNumberFormat="1" applyFont="1" applyFill="1" applyBorder="1" applyAlignment="1" applyProtection="1">
      <alignment horizontal="center" vertical="center" shrinkToFit="1"/>
    </xf>
    <xf numFmtId="178" fontId="5" fillId="0" borderId="5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7" fillId="0" borderId="5" xfId="1" applyNumberFormat="1" applyFont="1" applyFill="1" applyBorder="1" applyAlignment="1" applyProtection="1">
      <alignment horizontal="center" vertical="center" wrapText="1" shrinkToFit="1"/>
    </xf>
    <xf numFmtId="41" fontId="7" fillId="0" borderId="5" xfId="1" applyNumberFormat="1" applyFont="1" applyFill="1" applyBorder="1" applyAlignment="1" applyProtection="1">
      <alignment horizontal="center" vertical="center" wrapText="1"/>
    </xf>
    <xf numFmtId="0" fontId="7" fillId="0" borderId="5" xfId="1" applyNumberFormat="1" applyFont="1" applyFill="1" applyBorder="1" applyAlignment="1" applyProtection="1">
      <alignment horizontal="center" vertical="center" shrinkToFi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7" fillId="0" borderId="5" xfId="1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shrinkToFit="1"/>
    </xf>
    <xf numFmtId="0" fontId="7" fillId="0" borderId="9" xfId="0" applyNumberFormat="1" applyFont="1" applyFill="1" applyBorder="1" applyAlignment="1" applyProtection="1">
      <alignment horizontal="center" vertical="center" shrinkToFit="1"/>
    </xf>
    <xf numFmtId="177" fontId="11" fillId="0" borderId="9" xfId="1" applyNumberFormat="1" applyFont="1" applyFill="1" applyBorder="1" applyAlignment="1" applyProtection="1">
      <alignment horizontal="center" vertical="center" wrapText="1" shrinkToFit="1"/>
    </xf>
    <xf numFmtId="0" fontId="5" fillId="0" borderId="0" xfId="0" applyNumberFormat="1" applyFont="1" applyFill="1" applyAlignment="1" applyProtection="1">
      <alignment horizontal="center" vertical="center" shrinkToFit="1"/>
    </xf>
    <xf numFmtId="0" fontId="5" fillId="0" borderId="0" xfId="0" applyNumberFormat="1" applyFont="1" applyFill="1" applyAlignment="1" applyProtection="1">
      <alignment horizontal="center" vertical="center" shrinkToFit="1"/>
    </xf>
    <xf numFmtId="177" fontId="7" fillId="4" borderId="9" xfId="1" applyNumberFormat="1" applyFont="1" applyFill="1" applyBorder="1" applyAlignment="1" applyProtection="1">
      <alignment horizontal="center" vertical="center" wrapText="1" shrinkToFit="1"/>
    </xf>
    <xf numFmtId="0" fontId="7" fillId="4" borderId="8" xfId="1" applyNumberFormat="1" applyFont="1" applyFill="1" applyBorder="1" applyAlignment="1" applyProtection="1">
      <alignment horizontal="center" vertical="center" shrinkToFit="1"/>
    </xf>
    <xf numFmtId="0" fontId="9" fillId="4" borderId="9" xfId="1" applyNumberFormat="1" applyFont="1" applyFill="1" applyBorder="1" applyAlignment="1" applyProtection="1">
      <alignment horizontal="center" vertical="center" shrinkToFit="1"/>
    </xf>
    <xf numFmtId="0" fontId="9" fillId="4" borderId="9" xfId="1" applyNumberFormat="1" applyFont="1" applyFill="1" applyBorder="1" applyAlignment="1" applyProtection="1">
      <alignment horizontal="center" vertical="center" wrapText="1" shrinkToFit="1"/>
    </xf>
    <xf numFmtId="0" fontId="9" fillId="4" borderId="9" xfId="0" applyNumberFormat="1" applyFont="1" applyFill="1" applyBorder="1" applyAlignment="1" applyProtection="1">
      <alignment horizontal="center" vertical="center" shrinkToFit="1"/>
    </xf>
    <xf numFmtId="177" fontId="7" fillId="4" borderId="9" xfId="1" applyNumberFormat="1" applyFont="1" applyFill="1" applyBorder="1" applyAlignment="1" applyProtection="1">
      <alignment horizontal="center" vertical="center" shrinkToFit="1"/>
    </xf>
    <xf numFmtId="0" fontId="7" fillId="0" borderId="0" xfId="0" applyNumberFormat="1" applyFont="1" applyFill="1" applyAlignment="1" applyProtection="1">
      <alignment horizontal="center" vertical="center" shrinkToFit="1"/>
    </xf>
    <xf numFmtId="0" fontId="8" fillId="0" borderId="0" xfId="0" applyNumberFormat="1" applyFont="1" applyFill="1" applyAlignment="1" applyProtection="1">
      <alignment horizontal="center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Alignment="1">
      <alignment vertical="center"/>
    </xf>
    <xf numFmtId="0" fontId="0" fillId="0" borderId="0" xfId="0" applyNumberFormat="1" applyFont="1" applyFill="1" applyAlignment="1">
      <alignment vertical="center"/>
    </xf>
    <xf numFmtId="179" fontId="6" fillId="0" borderId="5" xfId="0" applyNumberFormat="1" applyFont="1" applyFill="1" applyBorder="1" applyAlignment="1" applyProtection="1">
      <alignment horizontal="center" vertical="center" wrapText="1"/>
    </xf>
    <xf numFmtId="179" fontId="9" fillId="0" borderId="9" xfId="1" applyNumberFormat="1" applyFont="1" applyFill="1" applyBorder="1" applyAlignment="1" applyProtection="1">
      <alignment horizontal="center" vertical="center" wrapText="1" shrinkToFit="1"/>
    </xf>
    <xf numFmtId="0" fontId="0" fillId="5" borderId="11" xfId="0" applyNumberFormat="1" applyFill="1" applyBorder="1" applyAlignment="1"/>
    <xf numFmtId="0" fontId="0" fillId="5" borderId="12" xfId="0" applyNumberFormat="1" applyFill="1" applyBorder="1" applyAlignment="1"/>
    <xf numFmtId="0" fontId="0" fillId="5" borderId="13" xfId="0" applyNumberFormat="1" applyFill="1" applyBorder="1" applyAlignment="1"/>
    <xf numFmtId="0" fontId="3" fillId="5" borderId="14" xfId="0" applyNumberFormat="1" applyFont="1" applyFill="1" applyBorder="1" applyAlignment="1"/>
    <xf numFmtId="0" fontId="0" fillId="5" borderId="15" xfId="0" applyNumberFormat="1" applyFill="1" applyBorder="1" applyAlignment="1"/>
    <xf numFmtId="0" fontId="0" fillId="5" borderId="15" xfId="0" applyNumberFormat="1" applyFont="1" applyFill="1" applyBorder="1" applyAlignment="1"/>
    <xf numFmtId="0" fontId="0" fillId="5" borderId="15" xfId="0" applyNumberFormat="1" applyFont="1" applyFill="1" applyBorder="1" applyAlignment="1">
      <alignment vertical="center"/>
    </xf>
    <xf numFmtId="0" fontId="12" fillId="5" borderId="15" xfId="0" applyNumberFormat="1" applyFont="1" applyFill="1" applyBorder="1" applyAlignment="1">
      <alignment vertical="center"/>
    </xf>
    <xf numFmtId="0" fontId="4" fillId="5" borderId="15" xfId="0" applyNumberFormat="1" applyFont="1" applyFill="1" applyBorder="1" applyAlignment="1">
      <alignment horizontal="center" vertical="top"/>
    </xf>
    <xf numFmtId="0" fontId="0" fillId="5" borderId="16" xfId="0" applyNumberFormat="1" applyFill="1" applyBorder="1" applyAlignment="1"/>
    <xf numFmtId="0" fontId="0" fillId="5" borderId="0" xfId="0" applyNumberFormat="1" applyFill="1" applyBorder="1" applyAlignment="1"/>
    <xf numFmtId="0" fontId="0" fillId="5" borderId="0" xfId="0" applyNumberFormat="1" applyFont="1" applyFill="1" applyBorder="1" applyAlignment="1"/>
    <xf numFmtId="0" fontId="0" fillId="5" borderId="17" xfId="0" applyNumberFormat="1" applyFill="1" applyBorder="1" applyAlignment="1"/>
    <xf numFmtId="0" fontId="3" fillId="5" borderId="17" xfId="0" applyNumberFormat="1" applyFont="1" applyFill="1" applyBorder="1" applyAlignment="1"/>
    <xf numFmtId="0" fontId="0" fillId="5" borderId="17" xfId="0" applyNumberFormat="1" applyFont="1" applyFill="1" applyBorder="1" applyAlignment="1"/>
    <xf numFmtId="0" fontId="0" fillId="5" borderId="17" xfId="0" applyNumberFormat="1" applyFont="1" applyFill="1" applyBorder="1" applyAlignment="1">
      <alignment vertical="center"/>
    </xf>
    <xf numFmtId="0" fontId="12" fillId="5" borderId="17" xfId="0" applyNumberFormat="1" applyFont="1" applyFill="1" applyBorder="1" applyAlignment="1">
      <alignment vertical="center"/>
    </xf>
    <xf numFmtId="0" fontId="4" fillId="5" borderId="17" xfId="0" applyNumberFormat="1" applyFont="1" applyFill="1" applyBorder="1" applyAlignment="1">
      <alignment horizontal="center" vertical="top"/>
    </xf>
    <xf numFmtId="0" fontId="0" fillId="5" borderId="18" xfId="0" applyNumberFormat="1" applyFill="1" applyBorder="1" applyAlignment="1"/>
    <xf numFmtId="0" fontId="4" fillId="5" borderId="0" xfId="0" applyNumberFormat="1" applyFont="1" applyFill="1" applyBorder="1" applyAlignment="1">
      <alignment horizontal="center" vertical="top"/>
    </xf>
    <xf numFmtId="0" fontId="0" fillId="5" borderId="19" xfId="0" applyNumberFormat="1" applyFont="1" applyFill="1" applyBorder="1" applyAlignment="1"/>
    <xf numFmtId="0" fontId="0" fillId="5" borderId="19" xfId="0" applyNumberFormat="1" applyFill="1" applyBorder="1" applyAlignment="1"/>
    <xf numFmtId="0" fontId="0" fillId="5" borderId="0" xfId="0" applyNumberFormat="1" applyFont="1" applyFill="1" applyBorder="1" applyAlignment="1">
      <alignment vertical="center"/>
    </xf>
    <xf numFmtId="0" fontId="0" fillId="5" borderId="0" xfId="0" applyNumberFormat="1" applyFont="1" applyFill="1" applyAlignment="1">
      <alignment horizontal="right" vertical="center"/>
    </xf>
    <xf numFmtId="41" fontId="0" fillId="5" borderId="20" xfId="0" applyNumberFormat="1" applyFont="1" applyFill="1" applyBorder="1" applyAlignment="1">
      <alignment vertical="center"/>
    </xf>
    <xf numFmtId="0" fontId="13" fillId="5" borderId="0" xfId="0" applyNumberFormat="1" applyFont="1" applyFill="1" applyAlignment="1">
      <alignment horizontal="right" vertical="center"/>
    </xf>
    <xf numFmtId="0" fontId="0" fillId="5" borderId="21" xfId="0" applyNumberFormat="1" applyFont="1" applyFill="1" applyBorder="1" applyAlignment="1">
      <alignment horizontal="left" vertical="center"/>
    </xf>
    <xf numFmtId="41" fontId="0" fillId="5" borderId="22" xfId="0" applyNumberFormat="1" applyFont="1" applyFill="1" applyBorder="1" applyAlignment="1">
      <alignment vertical="center"/>
    </xf>
    <xf numFmtId="0" fontId="0" fillId="5" borderId="23" xfId="0" applyNumberFormat="1" applyFont="1" applyFill="1" applyBorder="1" applyAlignment="1">
      <alignment horizontal="left" vertical="center"/>
    </xf>
    <xf numFmtId="41" fontId="0" fillId="5" borderId="24" xfId="0" applyNumberFormat="1" applyFont="1" applyFill="1" applyBorder="1" applyAlignment="1">
      <alignment vertical="center"/>
    </xf>
    <xf numFmtId="0" fontId="0" fillId="5" borderId="0" xfId="0" applyNumberFormat="1" applyFont="1" applyFill="1" applyBorder="1" applyAlignment="1">
      <alignment horizontal="right" vertical="center"/>
    </xf>
    <xf numFmtId="41" fontId="14" fillId="5" borderId="24" xfId="0" applyNumberFormat="1" applyFont="1" applyFill="1" applyBorder="1" applyAlignment="1">
      <alignment vertical="center"/>
    </xf>
    <xf numFmtId="0" fontId="14" fillId="5" borderId="24" xfId="0" applyNumberFormat="1" applyFont="1" applyFill="1" applyBorder="1" applyAlignment="1">
      <alignment horizontal="left" vertical="center"/>
    </xf>
    <xf numFmtId="0" fontId="5" fillId="0" borderId="25" xfId="0" applyNumberFormat="1" applyFont="1" applyFill="1" applyBorder="1" applyAlignment="1" applyProtection="1">
      <alignment horizontal="center" vertical="center" shrinkToFit="1"/>
    </xf>
    <xf numFmtId="0" fontId="5" fillId="0" borderId="26" xfId="0" applyNumberFormat="1" applyFont="1" applyFill="1" applyBorder="1" applyAlignment="1" applyProtection="1">
      <alignment horizontal="center" vertical="center" shrinkToFit="1"/>
    </xf>
    <xf numFmtId="177" fontId="7" fillId="0" borderId="26" xfId="0" applyNumberFormat="1" applyFont="1" applyFill="1" applyBorder="1" applyAlignment="1" applyProtection="1">
      <alignment horizontal="center" vertical="center" shrinkToFit="1"/>
    </xf>
    <xf numFmtId="177" fontId="9" fillId="0" borderId="26" xfId="1" applyNumberFormat="1" applyFont="1" applyFill="1" applyBorder="1" applyAlignment="1" applyProtection="1">
      <alignment horizontal="center" vertical="center" shrinkToFit="1"/>
    </xf>
    <xf numFmtId="177" fontId="7" fillId="4" borderId="26" xfId="1" applyNumberFormat="1" applyFont="1" applyFill="1" applyBorder="1" applyAlignment="1" applyProtection="1">
      <alignment horizontal="center" vertical="center" shrinkToFit="1"/>
    </xf>
    <xf numFmtId="0" fontId="9" fillId="4" borderId="26" xfId="1" applyNumberFormat="1" applyFont="1" applyFill="1" applyBorder="1" applyAlignment="1" applyProtection="1">
      <alignment horizontal="center" vertical="center" shrinkToFit="1"/>
    </xf>
    <xf numFmtId="179" fontId="9" fillId="0" borderId="26" xfId="1" applyNumberFormat="1" applyFont="1" applyFill="1" applyBorder="1" applyAlignment="1" applyProtection="1">
      <alignment horizontal="center" vertical="center" shrinkToFit="1"/>
    </xf>
    <xf numFmtId="0" fontId="7" fillId="0" borderId="27" xfId="0" applyNumberFormat="1" applyFont="1" applyFill="1" applyBorder="1" applyAlignment="1" applyProtection="1">
      <alignment horizontal="right" vertical="center" wrapText="1" shrinkToFit="1"/>
    </xf>
    <xf numFmtId="0" fontId="7" fillId="0" borderId="28" xfId="0" applyNumberFormat="1" applyFont="1" applyFill="1" applyBorder="1" applyAlignment="1" applyProtection="1">
      <alignment horizontal="left" vertical="center" wrapText="1" shrinkToFit="1"/>
    </xf>
    <xf numFmtId="0" fontId="7" fillId="4" borderId="29" xfId="1" applyNumberFormat="1" applyFont="1" applyFill="1" applyBorder="1" applyAlignment="1" applyProtection="1">
      <alignment horizontal="center" vertical="center" shrinkToFit="1"/>
    </xf>
    <xf numFmtId="0" fontId="9" fillId="4" borderId="30" xfId="1" applyNumberFormat="1" applyFont="1" applyFill="1" applyBorder="1" applyAlignment="1" applyProtection="1">
      <alignment horizontal="center" vertical="center" shrinkToFit="1"/>
    </xf>
    <xf numFmtId="0" fontId="8" fillId="0" borderId="0" xfId="0" applyNumberFormat="1" applyFont="1" applyFill="1" applyAlignment="1" applyProtection="1">
      <alignment horizontal="right" vertical="center"/>
    </xf>
    <xf numFmtId="178" fontId="5" fillId="0" borderId="0" xfId="0" applyNumberFormat="1" applyFont="1" applyFill="1" applyAlignment="1" applyProtection="1">
      <alignment horizontal="right" vertical="center" shrinkToFit="1"/>
    </xf>
    <xf numFmtId="177" fontId="8" fillId="0" borderId="10" xfId="0" applyNumberFormat="1" applyFont="1" applyFill="1" applyBorder="1" applyAlignment="1" applyProtection="1">
      <alignment horizontal="right" vertical="center" shrinkToFit="1"/>
    </xf>
    <xf numFmtId="177" fontId="8" fillId="0" borderId="26" xfId="0" applyNumberFormat="1" applyFont="1" applyFill="1" applyBorder="1" applyAlignment="1" applyProtection="1">
      <alignment horizontal="right" vertical="center" shrinkToFit="1"/>
    </xf>
    <xf numFmtId="0" fontId="8" fillId="0" borderId="0" xfId="0" applyNumberFormat="1" applyFont="1" applyFill="1" applyAlignment="1" applyProtection="1">
      <alignment horizontal="right" vertical="center"/>
    </xf>
    <xf numFmtId="0" fontId="8" fillId="0" borderId="5" xfId="0" applyNumberFormat="1" applyFont="1" applyFill="1" applyBorder="1" applyAlignment="1" applyProtection="1">
      <alignment horizontal="right" vertical="center"/>
    </xf>
    <xf numFmtId="0" fontId="8" fillId="0" borderId="0" xfId="0" applyNumberFormat="1" applyFont="1" applyFill="1" applyAlignment="1" applyProtection="1">
      <alignment horizontal="right" vertical="center"/>
    </xf>
    <xf numFmtId="0" fontId="6" fillId="6" borderId="5" xfId="0" applyNumberFormat="1" applyFont="1" applyFill="1" applyBorder="1" applyAlignment="1" applyProtection="1">
      <alignment horizontal="center" vertical="center" wrapText="1"/>
    </xf>
    <xf numFmtId="178" fontId="7" fillId="0" borderId="15" xfId="0" applyNumberFormat="1" applyFont="1" applyFill="1" applyBorder="1" applyAlignment="1" applyProtection="1">
      <alignment horizontal="center" vertical="center" shrinkToFit="1"/>
    </xf>
    <xf numFmtId="178" fontId="7" fillId="0" borderId="15" xfId="0" quotePrefix="1" applyNumberFormat="1" applyFont="1" applyFill="1" applyBorder="1" applyAlignment="1" applyProtection="1">
      <alignment horizontal="center" vertical="center" shrinkToFit="1"/>
    </xf>
    <xf numFmtId="41" fontId="0" fillId="5" borderId="31" xfId="0" applyNumberFormat="1" applyFont="1" applyFill="1" applyBorder="1" applyAlignment="1">
      <alignment vertical="center"/>
    </xf>
    <xf numFmtId="0" fontId="7" fillId="0" borderId="32" xfId="0" applyNumberFormat="1" applyFont="1" applyFill="1" applyBorder="1" applyAlignment="1" applyProtection="1">
      <alignment horizontal="center" vertical="center" shrinkToFit="1"/>
    </xf>
    <xf numFmtId="0" fontId="7" fillId="0" borderId="9" xfId="0" applyNumberFormat="1" applyFont="1" applyFill="1" applyBorder="1" applyAlignment="1" applyProtection="1">
      <alignment horizontal="center" vertical="center" shrinkToFit="1"/>
    </xf>
    <xf numFmtId="0" fontId="10" fillId="0" borderId="9" xfId="0" applyNumberFormat="1" applyFont="1" applyFill="1" applyBorder="1" applyAlignment="1" applyProtection="1">
      <alignment horizontal="center" vertical="center" shrinkToFit="1"/>
    </xf>
    <xf numFmtId="0" fontId="7" fillId="4" borderId="7" xfId="1" applyNumberFormat="1" applyFont="1" applyFill="1" applyBorder="1" applyAlignment="1" applyProtection="1">
      <alignment horizontal="center" vertical="center" shrinkToFit="1"/>
    </xf>
    <xf numFmtId="0" fontId="7" fillId="0" borderId="7" xfId="1" applyNumberFormat="1" applyFont="1" applyFill="1" applyBorder="1" applyAlignment="1" applyProtection="1">
      <alignment horizontal="center" vertical="center" shrinkToFit="1"/>
    </xf>
    <xf numFmtId="177" fontId="7" fillId="0" borderId="9" xfId="1" applyNumberFormat="1" applyFont="1" applyFill="1" applyBorder="1" applyAlignment="1" applyProtection="1">
      <alignment horizontal="center" vertical="center" shrinkToFit="1"/>
    </xf>
    <xf numFmtId="0" fontId="13" fillId="5" borderId="0" xfId="0" applyNumberFormat="1" applyFont="1" applyFill="1" applyBorder="1" applyAlignment="1">
      <alignment horizontal="left" vertical="center"/>
    </xf>
    <xf numFmtId="178" fontId="15" fillId="0" borderId="15" xfId="0" applyNumberFormat="1" applyFont="1" applyFill="1" applyBorder="1" applyAlignment="1" applyProtection="1">
      <alignment horizontal="center" vertical="center" shrinkToFit="1"/>
    </xf>
    <xf numFmtId="0" fontId="16" fillId="5" borderId="33" xfId="0" applyNumberFormat="1" applyFont="1" applyFill="1" applyBorder="1" applyAlignment="1">
      <alignment horizontal="center" vertical="center"/>
    </xf>
    <xf numFmtId="0" fontId="16" fillId="5" borderId="34" xfId="0" applyNumberFormat="1" applyFont="1" applyFill="1" applyBorder="1" applyAlignment="1">
      <alignment horizontal="center" vertical="center"/>
    </xf>
    <xf numFmtId="6" fontId="17" fillId="5" borderId="35" xfId="0" applyNumberFormat="1" applyFont="1" applyFill="1" applyBorder="1" applyAlignment="1">
      <alignment vertical="center"/>
    </xf>
    <xf numFmtId="0" fontId="7" fillId="0" borderId="36" xfId="0" applyNumberFormat="1" applyFont="1" applyFill="1" applyBorder="1" applyAlignment="1" applyProtection="1">
      <alignment horizontal="center" vertical="center" wrapText="1" shrinkToFit="1"/>
    </xf>
    <xf numFmtId="0" fontId="7" fillId="4" borderId="37" xfId="1" applyNumberFormat="1" applyFont="1" applyFill="1" applyBorder="1" applyAlignment="1" applyProtection="1">
      <alignment horizontal="center" vertical="center" shrinkToFit="1"/>
    </xf>
    <xf numFmtId="0" fontId="7" fillId="0" borderId="38" xfId="1" applyNumberFormat="1" applyFont="1" applyFill="1" applyBorder="1" applyAlignment="1" applyProtection="1">
      <alignment horizontal="center" vertical="center" wrapText="1" shrinkToFit="1"/>
    </xf>
    <xf numFmtId="0" fontId="7" fillId="0" borderId="39" xfId="1" applyNumberFormat="1" applyFont="1" applyFill="1" applyBorder="1" applyAlignment="1" applyProtection="1">
      <alignment horizontal="center" vertical="center" wrapText="1" shrinkToFit="1"/>
    </xf>
    <xf numFmtId="0" fontId="7" fillId="0" borderId="40" xfId="1" applyNumberFormat="1" applyFont="1" applyFill="1" applyBorder="1" applyAlignment="1" applyProtection="1">
      <alignment horizontal="center" vertical="center" wrapText="1" shrinkToFit="1"/>
    </xf>
    <xf numFmtId="0" fontId="7" fillId="0" borderId="41" xfId="1" applyNumberFormat="1" applyFont="1" applyFill="1" applyBorder="1" applyAlignment="1" applyProtection="1">
      <alignment horizontal="center" vertical="center" wrapText="1" shrinkToFit="1"/>
    </xf>
    <xf numFmtId="0" fontId="7" fillId="0" borderId="37" xfId="1" applyNumberFormat="1" applyFont="1" applyFill="1" applyBorder="1" applyAlignment="1" applyProtection="1">
      <alignment horizontal="center" vertical="center" wrapText="1" shrinkToFit="1"/>
    </xf>
    <xf numFmtId="0" fontId="7" fillId="4" borderId="39" xfId="1" applyNumberFormat="1" applyFont="1" applyFill="1" applyBorder="1" applyAlignment="1" applyProtection="1">
      <alignment horizontal="center" vertical="center" wrapText="1" shrinkToFit="1"/>
    </xf>
    <xf numFmtId="0" fontId="7" fillId="0" borderId="42" xfId="0" applyNumberFormat="1" applyFont="1" applyFill="1" applyBorder="1" applyAlignment="1" applyProtection="1">
      <alignment horizontal="right" vertical="center" wrapText="1" shrinkToFit="1"/>
    </xf>
    <xf numFmtId="0" fontId="7" fillId="0" borderId="42" xfId="0" applyNumberFormat="1" applyFont="1" applyFill="1" applyBorder="1" applyAlignment="1" applyProtection="1">
      <alignment horizontal="left" vertical="center" wrapText="1" shrinkToFit="1"/>
    </xf>
    <xf numFmtId="0" fontId="2" fillId="2" borderId="53" xfId="0" applyNumberFormat="1" applyFont="1" applyFill="1" applyBorder="1" applyAlignment="1" applyProtection="1">
      <alignment horizontal="center" vertical="center"/>
    </xf>
    <xf numFmtId="0" fontId="2" fillId="2" borderId="3" xfId="0" applyNumberFormat="1" applyFont="1" applyFill="1" applyBorder="1" applyAlignment="1" applyProtection="1">
      <alignment horizontal="center" vertical="center"/>
    </xf>
    <xf numFmtId="0" fontId="2" fillId="2" borderId="4" xfId="0" applyNumberFormat="1" applyFont="1" applyFill="1" applyBorder="1" applyAlignment="1" applyProtection="1">
      <alignment horizontal="center" vertical="center"/>
    </xf>
    <xf numFmtId="0" fontId="2" fillId="2" borderId="2" xfId="0" applyNumberFormat="1" applyFont="1" applyFill="1" applyBorder="1" applyAlignment="1" applyProtection="1">
      <alignment horizontal="center" vertical="center"/>
    </xf>
    <xf numFmtId="0" fontId="2" fillId="2" borderId="3" xfId="0" applyNumberFormat="1" applyFont="1" applyFill="1" applyBorder="1" applyAlignment="1" applyProtection="1">
      <alignment horizontal="right" vertical="center"/>
    </xf>
    <xf numFmtId="0" fontId="2" fillId="2" borderId="2" xfId="0" applyNumberFormat="1" applyFont="1" applyFill="1" applyBorder="1" applyAlignment="1" applyProtection="1">
      <alignment horizontal="right" vertical="center"/>
    </xf>
    <xf numFmtId="0" fontId="2" fillId="2" borderId="1" xfId="0" applyNumberFormat="1" applyFont="1" applyFill="1" applyBorder="1" applyAlignment="1" applyProtection="1">
      <alignment horizontal="center" vertical="center"/>
    </xf>
    <xf numFmtId="0" fontId="2" fillId="2" borderId="54" xfId="0" applyNumberFormat="1" applyFont="1" applyFill="1" applyBorder="1" applyAlignment="1" applyProtection="1">
      <alignment horizontal="center" vertical="center"/>
    </xf>
    <xf numFmtId="0" fontId="7" fillId="0" borderId="55" xfId="1" applyNumberFormat="1" applyFont="1" applyFill="1" applyBorder="1" applyAlignment="1" applyProtection="1">
      <alignment horizontal="center" vertical="center" wrapText="1" shrinkToFit="1"/>
    </xf>
    <xf numFmtId="0" fontId="7" fillId="0" borderId="56" xfId="1" applyNumberFormat="1" applyFont="1" applyFill="1" applyBorder="1" applyAlignment="1" applyProtection="1">
      <alignment horizontal="center" vertical="center" wrapText="1" shrinkToFit="1"/>
    </xf>
    <xf numFmtId="0" fontId="7" fillId="0" borderId="55" xfId="0" applyNumberFormat="1" applyFont="1" applyFill="1" applyBorder="1" applyAlignment="1" applyProtection="1">
      <alignment horizontal="center" vertical="center" wrapText="1" shrinkToFit="1"/>
    </xf>
    <xf numFmtId="0" fontId="7" fillId="0" borderId="56" xfId="0" applyNumberFormat="1" applyFont="1" applyFill="1" applyBorder="1" applyAlignment="1" applyProtection="1">
      <alignment horizontal="center" vertical="center" wrapText="1" shrinkToFit="1"/>
    </xf>
    <xf numFmtId="0" fontId="7" fillId="0" borderId="57" xfId="1" applyNumberFormat="1" applyFont="1" applyFill="1" applyBorder="1" applyAlignment="1" applyProtection="1">
      <alignment horizontal="center" vertical="center" wrapText="1" shrinkToFit="1"/>
    </xf>
    <xf numFmtId="0" fontId="7" fillId="0" borderId="42" xfId="1" applyNumberFormat="1" applyFont="1" applyFill="1" applyBorder="1" applyAlignment="1" applyProtection="1">
      <alignment horizontal="center" vertical="center" wrapText="1" shrinkToFit="1"/>
    </xf>
    <xf numFmtId="0" fontId="18" fillId="3" borderId="58" xfId="0" applyNumberFormat="1" applyFont="1" applyFill="1" applyBorder="1" applyAlignment="1" applyProtection="1">
      <alignment horizontal="center" vertical="center"/>
    </xf>
    <xf numFmtId="0" fontId="18" fillId="3" borderId="59" xfId="0" applyNumberFormat="1" applyFont="1" applyFill="1" applyBorder="1" applyAlignment="1" applyProtection="1">
      <alignment horizontal="center" vertical="center"/>
    </xf>
    <xf numFmtId="0" fontId="18" fillId="3" borderId="60" xfId="0" applyNumberFormat="1" applyFont="1" applyFill="1" applyBorder="1" applyAlignment="1" applyProtection="1">
      <alignment horizontal="center" vertical="center"/>
    </xf>
    <xf numFmtId="0" fontId="14" fillId="5" borderId="61" xfId="0" applyNumberFormat="1" applyFont="1" applyFill="1" applyBorder="1" applyAlignment="1">
      <alignment horizontal="center" vertical="center"/>
    </xf>
    <xf numFmtId="0" fontId="14" fillId="5" borderId="23" xfId="0" applyNumberFormat="1" applyFont="1" applyFill="1" applyBorder="1" applyAlignment="1">
      <alignment horizontal="center" vertical="center"/>
    </xf>
    <xf numFmtId="0" fontId="0" fillId="5" borderId="5" xfId="0" applyNumberFormat="1" applyFill="1" applyBorder="1" applyAlignment="1">
      <alignment horizontal="center" vertical="center" wrapText="1"/>
    </xf>
    <xf numFmtId="0" fontId="0" fillId="5" borderId="5" xfId="0" applyNumberFormat="1" applyFont="1" applyFill="1" applyBorder="1" applyAlignment="1">
      <alignment horizontal="center" vertical="center"/>
    </xf>
    <xf numFmtId="41" fontId="8" fillId="5" borderId="61" xfId="1" applyNumberFormat="1" applyFont="1" applyFill="1" applyBorder="1" applyAlignment="1">
      <alignment horizontal="right" vertical="center"/>
    </xf>
    <xf numFmtId="41" fontId="8" fillId="5" borderId="23" xfId="1" applyNumberFormat="1" applyFont="1" applyFill="1" applyBorder="1" applyAlignment="1">
      <alignment horizontal="right" vertical="center"/>
    </xf>
    <xf numFmtId="41" fontId="19" fillId="5" borderId="61" xfId="1" applyNumberFormat="1" applyFont="1" applyFill="1" applyBorder="1" applyAlignment="1">
      <alignment horizontal="right" vertical="center"/>
    </xf>
    <xf numFmtId="41" fontId="19" fillId="5" borderId="23" xfId="1" applyNumberFormat="1" applyFont="1" applyFill="1" applyBorder="1" applyAlignment="1">
      <alignment horizontal="right" vertical="center"/>
    </xf>
    <xf numFmtId="0" fontId="0" fillId="5" borderId="62" xfId="0" applyNumberFormat="1" applyFont="1" applyFill="1" applyBorder="1" applyAlignment="1">
      <alignment horizontal="left" vertical="center" indent="1"/>
    </xf>
    <xf numFmtId="0" fontId="0" fillId="5" borderId="63" xfId="0" applyNumberFormat="1" applyFont="1" applyFill="1" applyBorder="1" applyAlignment="1">
      <alignment horizontal="left" vertical="center" indent="1"/>
    </xf>
    <xf numFmtId="0" fontId="0" fillId="5" borderId="64" xfId="0" applyNumberFormat="1" applyFont="1" applyFill="1" applyBorder="1" applyAlignment="1">
      <alignment horizontal="left" vertical="center" indent="1"/>
    </xf>
    <xf numFmtId="0" fontId="20" fillId="5" borderId="0" xfId="0" applyNumberFormat="1" applyFont="1" applyFill="1" applyBorder="1" applyAlignment="1">
      <alignment horizontal="left" vertical="center" indent="1"/>
    </xf>
    <xf numFmtId="0" fontId="13" fillId="5" borderId="0" xfId="0" applyNumberFormat="1" applyFont="1" applyFill="1" applyBorder="1" applyAlignment="1">
      <alignment horizontal="left" vertical="center"/>
    </xf>
    <xf numFmtId="49" fontId="21" fillId="7" borderId="0" xfId="0" applyNumberFormat="1" applyFont="1" applyFill="1" applyBorder="1" applyAlignment="1" applyProtection="1">
      <alignment horizontal="center" vertical="center"/>
      <protection locked="0"/>
    </xf>
    <xf numFmtId="49" fontId="21" fillId="7" borderId="0" xfId="0" quotePrefix="1" applyNumberFormat="1" applyFont="1" applyFill="1" applyBorder="1" applyAlignment="1" applyProtection="1">
      <alignment horizontal="center" vertical="center"/>
      <protection locked="0"/>
    </xf>
    <xf numFmtId="0" fontId="2" fillId="3" borderId="65" xfId="0" applyNumberFormat="1" applyFont="1" applyFill="1" applyBorder="1" applyAlignment="1">
      <alignment horizontal="center" vertical="center"/>
    </xf>
    <xf numFmtId="0" fontId="2" fillId="3" borderId="66" xfId="0" applyNumberFormat="1" applyFont="1" applyFill="1" applyBorder="1" applyAlignment="1">
      <alignment horizontal="center" vertical="center"/>
    </xf>
    <xf numFmtId="0" fontId="2" fillId="3" borderId="67" xfId="0" applyNumberFormat="1" applyFont="1" applyFill="1" applyBorder="1" applyAlignment="1">
      <alignment horizontal="center" vertical="center"/>
    </xf>
    <xf numFmtId="0" fontId="0" fillId="5" borderId="21" xfId="0" applyNumberFormat="1" applyFont="1" applyFill="1" applyBorder="1" applyAlignment="1">
      <alignment horizontal="left" vertical="center" indent="1"/>
    </xf>
    <xf numFmtId="0" fontId="0" fillId="5" borderId="61" xfId="0" applyNumberFormat="1" applyFont="1" applyFill="1" applyBorder="1" applyAlignment="1">
      <alignment horizontal="left" vertical="center" indent="1"/>
    </xf>
    <xf numFmtId="0" fontId="0" fillId="5" borderId="23" xfId="0" applyNumberFormat="1" applyFont="1" applyFill="1" applyBorder="1" applyAlignment="1">
      <alignment horizontal="left" vertical="center" indent="1"/>
    </xf>
    <xf numFmtId="41" fontId="8" fillId="5" borderId="68" xfId="1" applyNumberFormat="1" applyFont="1" applyFill="1" applyBorder="1" applyAlignment="1">
      <alignment horizontal="right" vertical="center"/>
    </xf>
    <xf numFmtId="41" fontId="8" fillId="5" borderId="21" xfId="1" applyNumberFormat="1" applyFont="1" applyFill="1" applyBorder="1" applyAlignment="1">
      <alignment horizontal="right" vertical="center"/>
    </xf>
    <xf numFmtId="0" fontId="0" fillId="5" borderId="61" xfId="0" applyNumberFormat="1" applyFont="1" applyFill="1" applyBorder="1" applyAlignment="1">
      <alignment horizontal="center" vertical="center"/>
    </xf>
    <xf numFmtId="0" fontId="0" fillId="5" borderId="24" xfId="0" applyNumberFormat="1" applyFont="1" applyFill="1" applyBorder="1" applyAlignment="1">
      <alignment horizontal="center" vertical="center"/>
    </xf>
    <xf numFmtId="0" fontId="18" fillId="3" borderId="61" xfId="0" applyNumberFormat="1" applyFont="1" applyFill="1" applyBorder="1" applyAlignment="1">
      <alignment horizontal="center" vertical="center" wrapText="1"/>
    </xf>
    <xf numFmtId="0" fontId="18" fillId="3" borderId="23" xfId="0" applyNumberFormat="1" applyFont="1" applyFill="1" applyBorder="1" applyAlignment="1">
      <alignment horizontal="center" vertical="center" wrapText="1"/>
    </xf>
    <xf numFmtId="0" fontId="18" fillId="3" borderId="24" xfId="0" applyNumberFormat="1" applyFont="1" applyFill="1" applyBorder="1" applyAlignment="1">
      <alignment horizontal="center" vertical="center" wrapText="1"/>
    </xf>
    <xf numFmtId="41" fontId="22" fillId="5" borderId="69" xfId="1" applyNumberFormat="1" applyFont="1" applyFill="1" applyBorder="1" applyAlignment="1">
      <alignment horizontal="center" vertical="center"/>
    </xf>
    <xf numFmtId="41" fontId="22" fillId="5" borderId="70" xfId="1" applyNumberFormat="1" applyFont="1" applyFill="1" applyBorder="1" applyAlignment="1">
      <alignment horizontal="center" vertical="center"/>
    </xf>
    <xf numFmtId="41" fontId="8" fillId="5" borderId="71" xfId="1" applyNumberFormat="1" applyFont="1" applyFill="1" applyBorder="1" applyAlignment="1">
      <alignment horizontal="right" vertical="center"/>
    </xf>
    <xf numFmtId="41" fontId="8" fillId="5" borderId="72" xfId="1" applyNumberFormat="1" applyFont="1" applyFill="1" applyBorder="1" applyAlignment="1">
      <alignment horizontal="right" vertical="center"/>
    </xf>
    <xf numFmtId="0" fontId="0" fillId="5" borderId="24" xfId="0" applyNumberFormat="1" applyFont="1" applyFill="1" applyBorder="1" applyAlignment="1">
      <alignment horizontal="left" vertical="center" indent="1"/>
    </xf>
    <xf numFmtId="41" fontId="17" fillId="5" borderId="69" xfId="0" applyNumberFormat="1" applyFont="1" applyFill="1" applyBorder="1" applyAlignment="1">
      <alignment horizontal="center" vertical="center"/>
    </xf>
    <xf numFmtId="41" fontId="17" fillId="5" borderId="70" xfId="0" applyNumberFormat="1" applyFont="1" applyFill="1" applyBorder="1" applyAlignment="1">
      <alignment horizontal="center" vertical="center"/>
    </xf>
    <xf numFmtId="0" fontId="23" fillId="5" borderId="0" xfId="0" applyNumberFormat="1" applyFont="1" applyFill="1" applyBorder="1" applyAlignment="1">
      <alignment horizontal="center" vertical="center" wrapText="1"/>
    </xf>
    <xf numFmtId="0" fontId="24" fillId="5" borderId="0" xfId="0" applyNumberFormat="1" applyFont="1" applyFill="1" applyBorder="1" applyAlignment="1">
      <alignment horizontal="center" vertical="center"/>
    </xf>
    <xf numFmtId="0" fontId="18" fillId="3" borderId="68" xfId="0" applyNumberFormat="1" applyFont="1" applyFill="1" applyBorder="1" applyAlignment="1" applyProtection="1">
      <alignment horizontal="center" vertical="center"/>
    </xf>
    <xf numFmtId="0" fontId="18" fillId="3" borderId="21" xfId="0" applyNumberFormat="1" applyFont="1" applyFill="1" applyBorder="1" applyAlignment="1" applyProtection="1">
      <alignment horizontal="center" vertical="center"/>
    </xf>
    <xf numFmtId="0" fontId="18" fillId="3" borderId="22" xfId="0" applyNumberFormat="1" applyFont="1" applyFill="1" applyBorder="1" applyAlignment="1" applyProtection="1">
      <alignment horizontal="center" vertical="center"/>
    </xf>
    <xf numFmtId="176" fontId="25" fillId="5" borderId="0" xfId="0" applyNumberFormat="1" applyFont="1" applyFill="1" applyBorder="1" applyAlignment="1">
      <alignment horizontal="center" vertical="top"/>
    </xf>
    <xf numFmtId="0" fontId="0" fillId="5" borderId="23" xfId="0" applyNumberFormat="1" applyFont="1" applyFill="1" applyBorder="1" applyAlignment="1">
      <alignment horizontal="left" vertical="center"/>
    </xf>
    <xf numFmtId="0" fontId="0" fillId="5" borderId="24" xfId="0" applyNumberFormat="1" applyFont="1" applyFill="1" applyBorder="1" applyAlignment="1">
      <alignment horizontal="left" vertical="center"/>
    </xf>
    <xf numFmtId="41" fontId="8" fillId="5" borderId="61" xfId="0" applyNumberFormat="1" applyFont="1" applyFill="1" applyBorder="1" applyAlignment="1">
      <alignment horizontal="right" vertical="center"/>
    </xf>
    <xf numFmtId="41" fontId="8" fillId="5" borderId="23" xfId="0" applyNumberFormat="1" applyFont="1" applyFill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57">
    <dxf>
      <font>
        <color theme="0"/>
      </font>
    </dxf>
    <dxf>
      <font>
        <color theme="0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000000"/>
      </font>
      <fill>
        <patternFill>
          <bgColor rgb="FFFFFFFF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  <dxf>
      <font>
        <color rgb="FF000000"/>
      </font>
      <fill>
        <patternFill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666750</xdr:colOff>
      <xdr:row>35</xdr:row>
      <xdr:rowOff>247649</xdr:rowOff>
    </xdr:from>
    <xdr:to>
      <xdr:col>8</xdr:col>
      <xdr:colOff>238125</xdr:colOff>
      <xdr:row>38</xdr:row>
      <xdr:rowOff>257175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3286125" y="7781925"/>
          <a:ext cx="885825" cy="866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C138"/>
  <sheetViews>
    <sheetView zoomScale="110" zoomScaleNormal="110" zoomScaleSheetLayoutView="75" workbookViewId="0">
      <pane xSplit="8" ySplit="7" topLeftCell="I8" activePane="bottomRight" state="frozen"/>
      <selection pane="topRight"/>
      <selection pane="bottomLeft"/>
      <selection pane="bottomRight" activeCell="O3" sqref="O3"/>
    </sheetView>
  </sheetViews>
  <sheetFormatPr defaultColWidth="6.125" defaultRowHeight="17.25"/>
  <cols>
    <col min="1" max="1" width="12.125" style="20" customWidth="1"/>
    <col min="2" max="2" width="7.625" style="21" hidden="1" customWidth="1"/>
    <col min="3" max="4" width="3.375" style="22" customWidth="1"/>
    <col min="5" max="5" width="10.125" style="23" customWidth="1"/>
    <col min="6" max="6" width="14.25" style="144" bestFit="1" customWidth="1"/>
    <col min="7" max="8" width="7.75" style="24" hidden="1" customWidth="1"/>
    <col min="9" max="9" width="9.25" style="24" customWidth="1"/>
    <col min="10" max="12" width="7" style="24" customWidth="1"/>
    <col min="13" max="13" width="7.5" style="24" customWidth="1"/>
    <col min="14" max="14" width="7.5" style="86" customWidth="1"/>
    <col min="15" max="15" width="6.5" style="24" bestFit="1" customWidth="1"/>
    <col min="16" max="16" width="6.5" style="24" customWidth="1"/>
    <col min="17" max="17" width="7" style="24" bestFit="1" customWidth="1"/>
    <col min="18" max="18" width="9.875" style="24" bestFit="1" customWidth="1"/>
    <col min="19" max="19" width="9.875" style="24" customWidth="1"/>
    <col min="20" max="20" width="9.875" style="24" bestFit="1" customWidth="1"/>
    <col min="21" max="21" width="7.875" style="24" customWidth="1"/>
    <col min="22" max="22" width="6.625" style="24" customWidth="1"/>
    <col min="23" max="23" width="7.25" style="24" customWidth="1"/>
    <col min="24" max="24" width="2.625" style="25" customWidth="1"/>
    <col min="25" max="25" width="6.375" style="25" customWidth="1"/>
    <col min="26" max="26" width="7.375" style="25" customWidth="1"/>
    <col min="27" max="27" width="2.625" style="25" customWidth="1"/>
    <col min="28" max="28" width="6.375" style="25" customWidth="1"/>
    <col min="29" max="29" width="9" style="26" customWidth="1"/>
    <col min="30" max="30" width="2.625" style="27" customWidth="1"/>
    <col min="31" max="31" width="6.75" style="28" hidden="1" customWidth="1"/>
    <col min="32" max="32" width="8.875" style="24" customWidth="1"/>
    <col min="33" max="33" width="2.625" style="28" customWidth="1"/>
    <col min="34" max="34" width="8.875" style="26" bestFit="1" customWidth="1"/>
    <col min="35" max="35" width="2.625" style="29" customWidth="1"/>
    <col min="36" max="36" width="8" style="24" customWidth="1"/>
    <col min="37" max="37" width="2.625" style="25" customWidth="1"/>
    <col min="38" max="38" width="6.25" style="25" hidden="1" customWidth="1"/>
    <col min="39" max="39" width="8" style="24" customWidth="1"/>
    <col min="40" max="40" width="2.625" style="25" customWidth="1"/>
    <col min="41" max="41" width="10.125" style="24" customWidth="1"/>
    <col min="42" max="42" width="2.125" style="25" customWidth="1"/>
    <col min="43" max="43" width="8" style="24" customWidth="1"/>
    <col min="44" max="44" width="2.625" style="25" customWidth="1"/>
    <col min="45" max="45" width="8" style="24" customWidth="1"/>
    <col min="46" max="46" width="2.625" style="25" customWidth="1"/>
    <col min="47" max="47" width="8" style="26" customWidth="1"/>
    <col min="48" max="48" width="2.625" style="27" customWidth="1"/>
    <col min="49" max="49" width="8" style="24" customWidth="1"/>
    <col min="50" max="50" width="2.625" style="25" customWidth="1"/>
    <col min="51" max="51" width="8.25" style="25" customWidth="1"/>
    <col min="52" max="52" width="2.625" style="25" customWidth="1"/>
    <col min="53" max="53" width="8" style="24" customWidth="1"/>
    <col min="54" max="54" width="2.625" style="25" customWidth="1"/>
    <col min="55" max="16384" width="6.125" style="22"/>
  </cols>
  <sheetData>
    <row r="1" spans="1:54" ht="7.5" customHeight="1"/>
    <row r="2" spans="1:54" ht="22.5">
      <c r="B2" s="176">
        <f ca="1">YEAR(TODAY())</f>
        <v>2019</v>
      </c>
      <c r="C2" s="177"/>
      <c r="D2" s="177" t="s">
        <v>161</v>
      </c>
      <c r="E2" s="180"/>
      <c r="F2" s="177" t="s">
        <v>160</v>
      </c>
      <c r="G2" s="177"/>
      <c r="H2" s="177" t="s">
        <v>146</v>
      </c>
      <c r="I2" s="177"/>
      <c r="J2" s="177"/>
      <c r="K2" s="177"/>
      <c r="L2" s="177"/>
      <c r="M2" s="177"/>
      <c r="N2" s="182"/>
      <c r="O2" s="94" t="s">
        <v>283</v>
      </c>
      <c r="P2" s="94"/>
      <c r="Q2" s="30"/>
      <c r="R2" s="31" t="s">
        <v>148</v>
      </c>
      <c r="S2" s="31" t="s">
        <v>144</v>
      </c>
      <c r="T2" s="31" t="s">
        <v>19</v>
      </c>
      <c r="U2" s="30"/>
      <c r="V2" s="32"/>
      <c r="W2" s="151" t="s">
        <v>9</v>
      </c>
      <c r="Z2" s="151" t="s">
        <v>145</v>
      </c>
      <c r="AC2" s="151" t="s">
        <v>24</v>
      </c>
      <c r="AF2" s="31" t="s">
        <v>30</v>
      </c>
      <c r="AH2" s="31" t="s">
        <v>28</v>
      </c>
      <c r="AJ2" s="151" t="s">
        <v>11</v>
      </c>
      <c r="AM2" s="31" t="s">
        <v>77</v>
      </c>
      <c r="AN2" s="33"/>
      <c r="AO2" s="31" t="s">
        <v>15</v>
      </c>
      <c r="AP2" s="33"/>
      <c r="AQ2" s="31">
        <f>AQ6</f>
        <v>0</v>
      </c>
      <c r="AR2" s="33"/>
      <c r="AS2" s="31">
        <f>AS6</f>
        <v>0</v>
      </c>
      <c r="AT2" s="33"/>
      <c r="AU2" s="31">
        <f>AU6</f>
        <v>0</v>
      </c>
      <c r="AV2" s="33"/>
      <c r="AW2" s="31">
        <f>AW6</f>
        <v>0</v>
      </c>
      <c r="AX2" s="33"/>
      <c r="AY2" s="31">
        <f>AY6</f>
        <v>0</v>
      </c>
      <c r="AZ2" s="33"/>
      <c r="BA2" s="31">
        <f>BA6</f>
        <v>0</v>
      </c>
      <c r="BB2" s="33"/>
    </row>
    <row r="3" spans="1:54" ht="18" customHeight="1">
      <c r="B3" s="178"/>
      <c r="C3" s="179"/>
      <c r="D3" s="179"/>
      <c r="E3" s="181"/>
      <c r="F3" s="179"/>
      <c r="G3" s="179"/>
      <c r="H3" s="179"/>
      <c r="I3" s="179"/>
      <c r="J3" s="179"/>
      <c r="K3" s="179"/>
      <c r="L3" s="179"/>
      <c r="M3" s="179"/>
      <c r="N3" s="183"/>
      <c r="Q3" s="22"/>
      <c r="R3" s="95">
        <v>0</v>
      </c>
      <c r="S3" s="95">
        <v>-23600</v>
      </c>
      <c r="T3" s="95">
        <v>0</v>
      </c>
      <c r="U3" s="22"/>
      <c r="V3" s="34"/>
      <c r="W3" s="95">
        <v>5000</v>
      </c>
      <c r="Z3" s="95">
        <v>15000</v>
      </c>
      <c r="AC3" s="95"/>
      <c r="AD3" s="25"/>
      <c r="AE3" s="20"/>
      <c r="AF3" s="98">
        <v>16020</v>
      </c>
      <c r="AG3" s="20"/>
      <c r="AH3" s="95">
        <v>7060</v>
      </c>
      <c r="AI3" s="20"/>
      <c r="AJ3" s="95">
        <v>268300</v>
      </c>
      <c r="AM3" s="95">
        <v>-6900</v>
      </c>
      <c r="AN3" s="33"/>
      <c r="AO3" s="95">
        <v>59000</v>
      </c>
      <c r="AP3" s="33"/>
      <c r="AQ3" s="95">
        <v>0</v>
      </c>
      <c r="AR3" s="33"/>
      <c r="AS3" s="95">
        <v>0</v>
      </c>
      <c r="AT3" s="33"/>
      <c r="AU3" s="95">
        <v>0</v>
      </c>
      <c r="AV3" s="33"/>
      <c r="AW3" s="95">
        <v>0</v>
      </c>
      <c r="AX3" s="33"/>
      <c r="AY3" s="95">
        <v>0</v>
      </c>
      <c r="AZ3" s="33"/>
      <c r="BA3" s="95">
        <v>0</v>
      </c>
      <c r="BB3" s="33"/>
    </row>
    <row r="4" spans="1:54" ht="9.75" customHeight="1">
      <c r="B4" s="35"/>
    </row>
    <row r="5" spans="1:54" s="23" customFormat="1" ht="13.5">
      <c r="A5" s="36"/>
      <c r="B5" s="37">
        <v>1</v>
      </c>
      <c r="C5" s="38">
        <v>2</v>
      </c>
      <c r="D5" s="39">
        <v>3</v>
      </c>
      <c r="E5" s="38">
        <v>4</v>
      </c>
      <c r="F5" s="145">
        <v>5</v>
      </c>
      <c r="G5" s="37">
        <v>6</v>
      </c>
      <c r="H5" s="38">
        <v>7</v>
      </c>
      <c r="I5" s="39">
        <v>8</v>
      </c>
      <c r="J5" s="39">
        <v>9</v>
      </c>
      <c r="K5" s="39">
        <v>10</v>
      </c>
      <c r="L5" s="39">
        <v>11</v>
      </c>
      <c r="M5" s="39">
        <v>12</v>
      </c>
      <c r="N5" s="39">
        <v>13</v>
      </c>
      <c r="O5" s="39">
        <v>14</v>
      </c>
      <c r="P5" s="39">
        <v>15</v>
      </c>
      <c r="Q5" s="39">
        <v>16</v>
      </c>
      <c r="R5" s="39">
        <v>17</v>
      </c>
      <c r="S5" s="39">
        <v>18</v>
      </c>
      <c r="T5" s="39">
        <v>19</v>
      </c>
      <c r="U5" s="39">
        <v>20</v>
      </c>
      <c r="V5" s="39">
        <v>21</v>
      </c>
      <c r="W5" s="39">
        <v>22</v>
      </c>
      <c r="X5" s="39">
        <v>23</v>
      </c>
      <c r="Y5" s="39">
        <v>24</v>
      </c>
      <c r="Z5" s="39">
        <v>25</v>
      </c>
      <c r="AA5" s="39">
        <v>26</v>
      </c>
      <c r="AB5" s="39">
        <v>27</v>
      </c>
      <c r="AC5" s="39">
        <v>28</v>
      </c>
      <c r="AD5" s="39">
        <v>29</v>
      </c>
      <c r="AE5" s="39">
        <v>30</v>
      </c>
      <c r="AF5" s="39">
        <v>31</v>
      </c>
      <c r="AG5" s="39">
        <v>32</v>
      </c>
      <c r="AH5" s="39">
        <v>33</v>
      </c>
      <c r="AI5" s="39">
        <v>34</v>
      </c>
      <c r="AJ5" s="39">
        <v>35</v>
      </c>
      <c r="AK5" s="39">
        <v>36</v>
      </c>
      <c r="AL5" s="39">
        <v>37</v>
      </c>
      <c r="AM5" s="39">
        <v>38</v>
      </c>
      <c r="AN5" s="39">
        <v>39</v>
      </c>
      <c r="AO5" s="39">
        <v>40</v>
      </c>
      <c r="AP5" s="39">
        <v>41</v>
      </c>
      <c r="AQ5" s="39">
        <v>42</v>
      </c>
      <c r="AR5" s="39">
        <v>43</v>
      </c>
      <c r="AS5" s="39">
        <v>44</v>
      </c>
      <c r="AT5" s="39">
        <v>45</v>
      </c>
      <c r="AU5" s="39">
        <v>46</v>
      </c>
      <c r="AV5" s="39">
        <v>47</v>
      </c>
      <c r="AW5" s="39">
        <v>48</v>
      </c>
      <c r="AX5" s="39">
        <v>49</v>
      </c>
      <c r="AY5" s="39">
        <v>50</v>
      </c>
      <c r="AZ5" s="39">
        <v>51</v>
      </c>
      <c r="BA5" s="39">
        <v>52</v>
      </c>
      <c r="BB5" s="39">
        <v>53</v>
      </c>
    </row>
    <row r="6" spans="1:54" s="41" customFormat="1" ht="30.75" customHeight="1">
      <c r="A6" s="40"/>
      <c r="B6" s="13" t="s">
        <v>134</v>
      </c>
      <c r="C6" s="6" t="s">
        <v>143</v>
      </c>
      <c r="D6" s="4" t="s">
        <v>152</v>
      </c>
      <c r="E6" s="4" t="s">
        <v>149</v>
      </c>
      <c r="F6" s="8" t="s">
        <v>157</v>
      </c>
      <c r="G6" s="140" t="s">
        <v>150</v>
      </c>
      <c r="H6" s="141" t="s">
        <v>159</v>
      </c>
      <c r="I6" s="2" t="s">
        <v>138</v>
      </c>
      <c r="J6" s="1"/>
      <c r="K6" s="1"/>
      <c r="L6" s="1"/>
      <c r="M6" s="1"/>
      <c r="N6" s="1"/>
      <c r="O6" s="11" t="s">
        <v>151</v>
      </c>
      <c r="P6" s="10"/>
      <c r="Q6" s="9"/>
      <c r="R6" s="166" t="s">
        <v>139</v>
      </c>
      <c r="S6" s="174" t="s">
        <v>137</v>
      </c>
      <c r="T6" s="175" t="s">
        <v>160</v>
      </c>
      <c r="U6" s="186" t="s">
        <v>8</v>
      </c>
      <c r="V6" s="187"/>
      <c r="W6" s="184" t="s">
        <v>9</v>
      </c>
      <c r="X6" s="189"/>
      <c r="Y6" s="185"/>
      <c r="Z6" s="184" t="s">
        <v>145</v>
      </c>
      <c r="AA6" s="189"/>
      <c r="AB6" s="185"/>
      <c r="AC6" s="184" t="s">
        <v>24</v>
      </c>
      <c r="AD6" s="189"/>
      <c r="AE6" s="185"/>
      <c r="AF6" s="184" t="s">
        <v>30</v>
      </c>
      <c r="AG6" s="185"/>
      <c r="AH6" s="184" t="s">
        <v>28</v>
      </c>
      <c r="AI6" s="185"/>
      <c r="AJ6" s="184" t="s">
        <v>11</v>
      </c>
      <c r="AK6" s="189"/>
      <c r="AL6" s="185"/>
      <c r="AM6" s="184" t="s">
        <v>77</v>
      </c>
      <c r="AN6" s="185"/>
      <c r="AO6" s="184" t="s">
        <v>15</v>
      </c>
      <c r="AP6" s="185"/>
      <c r="AQ6" s="184"/>
      <c r="AR6" s="185"/>
      <c r="AS6" s="184"/>
      <c r="AT6" s="185"/>
      <c r="AU6" s="184"/>
      <c r="AV6" s="185"/>
      <c r="AW6" s="184"/>
      <c r="AX6" s="185"/>
      <c r="AY6" s="184"/>
      <c r="AZ6" s="188"/>
      <c r="BA6" s="184"/>
      <c r="BB6" s="188"/>
    </row>
    <row r="7" spans="1:54" s="41" customFormat="1" ht="17.25" customHeight="1">
      <c r="A7" s="40"/>
      <c r="B7" s="12"/>
      <c r="C7" s="5"/>
      <c r="D7" s="3"/>
      <c r="E7" s="3"/>
      <c r="F7" s="7"/>
      <c r="G7" s="42" t="s">
        <v>148</v>
      </c>
      <c r="H7" s="42" t="s">
        <v>19</v>
      </c>
      <c r="I7" s="43" t="s">
        <v>148</v>
      </c>
      <c r="J7" s="158" t="s">
        <v>26</v>
      </c>
      <c r="K7" s="159" t="s">
        <v>144</v>
      </c>
      <c r="L7" s="158" t="s">
        <v>26</v>
      </c>
      <c r="M7" s="43" t="s">
        <v>19</v>
      </c>
      <c r="N7" s="167" t="s">
        <v>26</v>
      </c>
      <c r="O7" s="168" t="s">
        <v>148</v>
      </c>
      <c r="P7" s="43" t="s">
        <v>144</v>
      </c>
      <c r="Q7" s="169" t="s">
        <v>19</v>
      </c>
      <c r="R7" s="170" t="s">
        <v>148</v>
      </c>
      <c r="S7" s="171" t="s">
        <v>144</v>
      </c>
      <c r="T7" s="172" t="s">
        <v>19</v>
      </c>
      <c r="U7" s="168" t="s">
        <v>156</v>
      </c>
      <c r="V7" s="173" t="s">
        <v>26</v>
      </c>
      <c r="W7" s="44" t="s">
        <v>9</v>
      </c>
      <c r="X7" s="88" t="s">
        <v>154</v>
      </c>
      <c r="Y7" s="88" t="s">
        <v>32</v>
      </c>
      <c r="Z7" s="44" t="s">
        <v>145</v>
      </c>
      <c r="AA7" s="88" t="s">
        <v>154</v>
      </c>
      <c r="AB7" s="88" t="s">
        <v>32</v>
      </c>
      <c r="AC7" s="44" t="s">
        <v>24</v>
      </c>
      <c r="AD7" s="88" t="s">
        <v>154</v>
      </c>
      <c r="AE7" s="88" t="s">
        <v>32</v>
      </c>
      <c r="AF7" s="44" t="s">
        <v>30</v>
      </c>
      <c r="AG7" s="88" t="s">
        <v>154</v>
      </c>
      <c r="AH7" s="44" t="s">
        <v>28</v>
      </c>
      <c r="AI7" s="88" t="s">
        <v>153</v>
      </c>
      <c r="AJ7" s="44" t="s">
        <v>11</v>
      </c>
      <c r="AK7" s="88" t="s">
        <v>154</v>
      </c>
      <c r="AL7" s="88" t="s">
        <v>32</v>
      </c>
      <c r="AM7" s="44" t="s">
        <v>77</v>
      </c>
      <c r="AN7" s="88" t="s">
        <v>154</v>
      </c>
      <c r="AO7" s="44" t="s">
        <v>15</v>
      </c>
      <c r="AP7" s="88" t="s">
        <v>154</v>
      </c>
      <c r="AQ7" s="45"/>
      <c r="AR7" s="88" t="s">
        <v>154</v>
      </c>
      <c r="AS7" s="45"/>
      <c r="AT7" s="88" t="s">
        <v>154</v>
      </c>
      <c r="AU7" s="45"/>
      <c r="AV7" s="88" t="s">
        <v>154</v>
      </c>
      <c r="AW7" s="45"/>
      <c r="AX7" s="88" t="s">
        <v>154</v>
      </c>
      <c r="AY7" s="45"/>
      <c r="AZ7" s="142" t="s">
        <v>154</v>
      </c>
      <c r="BA7" s="45"/>
      <c r="BB7" s="142" t="s">
        <v>154</v>
      </c>
    </row>
    <row r="8" spans="1:54" s="41" customFormat="1" ht="17.25" customHeight="1">
      <c r="A8" s="40"/>
      <c r="B8" s="162" t="s">
        <v>57</v>
      </c>
      <c r="C8" s="155">
        <v>1</v>
      </c>
      <c r="D8" s="156">
        <v>1</v>
      </c>
      <c r="E8" s="164" t="s">
        <v>224</v>
      </c>
      <c r="F8" s="146">
        <f t="shared" ref="F8:F47" si="0">SUM(I8:M8,R8:T8,W8,AC8,AF8,AH8,AJ8,AM8,AO8,AQ8,AS8,AU8,AW8,BA8,Z8,AY8)-SUM(O8:Q8,U8)</f>
        <v>-190670</v>
      </c>
      <c r="G8" s="58">
        <f t="shared" ref="G8:G47" si="1">$R$3</f>
        <v>0</v>
      </c>
      <c r="H8" s="58">
        <f t="shared" ref="H8:H47" si="2">$T$3</f>
        <v>0</v>
      </c>
      <c r="I8" s="46"/>
      <c r="J8" s="92"/>
      <c r="K8" s="160"/>
      <c r="L8" s="92"/>
      <c r="M8" s="46"/>
      <c r="N8" s="92"/>
      <c r="O8" s="84"/>
      <c r="P8" s="84"/>
      <c r="Q8" s="84"/>
      <c r="R8" s="46"/>
      <c r="S8" s="46">
        <v>-23600</v>
      </c>
      <c r="T8" s="46">
        <f t="shared" ref="T8:T121" si="3">H8</f>
        <v>0</v>
      </c>
      <c r="U8" s="84"/>
      <c r="V8" s="87"/>
      <c r="W8" s="46" t="str">
        <f>IF(ISNUMBER(X8),X8*$W$3,"")</f>
        <v/>
      </c>
      <c r="X8" s="89"/>
      <c r="Y8" s="89"/>
      <c r="Z8" s="46" t="str">
        <f>IF(ISNUMBER(AA8),AA8*$Z$3,"")</f>
        <v/>
      </c>
      <c r="AA8" s="89"/>
      <c r="AB8" s="90"/>
      <c r="AC8" s="46">
        <v>-186250</v>
      </c>
      <c r="AD8" s="89">
        <v>1</v>
      </c>
      <c r="AE8" s="90"/>
      <c r="AF8" s="99">
        <v>19020</v>
      </c>
      <c r="AG8" s="90">
        <v>1</v>
      </c>
      <c r="AH8" s="46">
        <f>IF(ISNUMBER(AI8),AI8*$AH$3,"")</f>
        <v>7060</v>
      </c>
      <c r="AI8" s="90">
        <v>1</v>
      </c>
      <c r="AJ8" s="46" t="str">
        <f>IF(ISNUMBER(AK8),AK8*$AJ$3,"")</f>
        <v/>
      </c>
      <c r="AK8" s="89"/>
      <c r="AL8" s="89"/>
      <c r="AM8" s="46">
        <f>IF(ISNUMBER(AN8),AN8*$AM$3,"")</f>
        <v>-6900</v>
      </c>
      <c r="AN8" s="91">
        <v>1</v>
      </c>
      <c r="AO8" s="46" t="str">
        <f>IF(ISNUMBER(AP8),AP8*$AO$3,"")</f>
        <v/>
      </c>
      <c r="AP8" s="89"/>
      <c r="AQ8" s="46" t="str">
        <f t="shared" ref="AQ8:AQ47" si="4">IF(ISNUMBER(AR8),AR8*$AQ$3,"")</f>
        <v/>
      </c>
      <c r="AR8" s="89"/>
      <c r="AS8" s="46" t="str">
        <f t="shared" ref="AS8:AS47" si="5">IF(ISNUMBER(AT8),AT8*$AS$3,"")</f>
        <v/>
      </c>
      <c r="AT8" s="89"/>
      <c r="AU8" s="46" t="str">
        <f t="shared" ref="AU8:AU47" si="6">IF(ISNUMBER(AV8),AV8*$AU$3,"")</f>
        <v/>
      </c>
      <c r="AV8" s="89"/>
      <c r="AW8" s="46" t="str">
        <f t="shared" ref="AW8:AW47" si="7">IF(ISNUMBER(AX8),AX8*$AW$3,"")</f>
        <v/>
      </c>
      <c r="AX8" s="89"/>
      <c r="AY8" s="46"/>
      <c r="AZ8" s="143"/>
      <c r="BA8" s="46" t="str">
        <f t="shared" ref="BA8:BA47" si="8">IF(ISNUMBER(BB8),BB8*$BA$3,"")</f>
        <v/>
      </c>
      <c r="BB8" s="143"/>
    </row>
    <row r="9" spans="1:54" s="41" customFormat="1" ht="17.25" customHeight="1">
      <c r="A9" s="40"/>
      <c r="B9" s="162" t="s">
        <v>54</v>
      </c>
      <c r="C9" s="155">
        <v>2</v>
      </c>
      <c r="D9" s="156">
        <v>1</v>
      </c>
      <c r="E9" s="163" t="s">
        <v>273</v>
      </c>
      <c r="F9" s="146">
        <f t="shared" si="0"/>
        <v>-193670</v>
      </c>
      <c r="G9" s="58">
        <f t="shared" si="1"/>
        <v>0</v>
      </c>
      <c r="H9" s="58">
        <f t="shared" si="2"/>
        <v>0</v>
      </c>
      <c r="I9" s="46"/>
      <c r="J9" s="92"/>
      <c r="K9" s="160"/>
      <c r="L9" s="92"/>
      <c r="M9" s="46"/>
      <c r="N9" s="92"/>
      <c r="O9" s="84"/>
      <c r="P9" s="84"/>
      <c r="Q9" s="84"/>
      <c r="R9" s="46"/>
      <c r="S9" s="46">
        <v>-23600</v>
      </c>
      <c r="T9" s="46">
        <f t="shared" si="3"/>
        <v>0</v>
      </c>
      <c r="U9" s="84"/>
      <c r="V9" s="87"/>
      <c r="W9" s="46" t="str">
        <f t="shared" ref="W9:W121" si="9">IF(ISNUMBER(X9),X9*$W$3,"")</f>
        <v/>
      </c>
      <c r="X9" s="89"/>
      <c r="Y9" s="89"/>
      <c r="Z9" s="46" t="str">
        <f t="shared" ref="Z9:Z85" si="10">IF(ISNUMBER(AA9),AA9*$Z$3,"")</f>
        <v/>
      </c>
      <c r="AA9" s="89"/>
      <c r="AB9" s="90"/>
      <c r="AC9" s="46">
        <v>-186250</v>
      </c>
      <c r="AD9" s="89">
        <v>1</v>
      </c>
      <c r="AE9" s="90"/>
      <c r="AF9" s="99">
        <v>16020</v>
      </c>
      <c r="AG9" s="90">
        <v>1</v>
      </c>
      <c r="AH9" s="46">
        <f t="shared" ref="AH9:AH121" si="11">IF(ISNUMBER(AI9),AI9*$AH$3,"")</f>
        <v>7060</v>
      </c>
      <c r="AI9" s="90">
        <v>1</v>
      </c>
      <c r="AJ9" s="46" t="str">
        <f t="shared" ref="AJ9:AJ121" si="12">IF(ISNUMBER(AK9),AK9*$AJ$3,"")</f>
        <v/>
      </c>
      <c r="AK9" s="89"/>
      <c r="AL9" s="89"/>
      <c r="AM9" s="46">
        <f t="shared" ref="AM9:AM121" si="13">IF(ISNUMBER(AN9),AN9*$AM$3,"")</f>
        <v>-6900</v>
      </c>
      <c r="AN9" s="91">
        <v>1</v>
      </c>
      <c r="AO9" s="46" t="str">
        <f t="shared" ref="AO9:AO121" si="14">IF(ISNUMBER(AP9),AP9*$AO$3,"")</f>
        <v/>
      </c>
      <c r="AP9" s="89"/>
      <c r="AQ9" s="46" t="str">
        <f t="shared" si="4"/>
        <v/>
      </c>
      <c r="AR9" s="89"/>
      <c r="AS9" s="46" t="str">
        <f t="shared" si="5"/>
        <v/>
      </c>
      <c r="AT9" s="89"/>
      <c r="AU9" s="46" t="str">
        <f t="shared" si="6"/>
        <v/>
      </c>
      <c r="AV9" s="89"/>
      <c r="AW9" s="46" t="str">
        <f t="shared" si="7"/>
        <v/>
      </c>
      <c r="AX9" s="89"/>
      <c r="AY9" s="46"/>
      <c r="AZ9" s="143"/>
      <c r="BA9" s="46" t="str">
        <f t="shared" si="8"/>
        <v/>
      </c>
      <c r="BB9" s="143"/>
    </row>
    <row r="10" spans="1:54" s="41" customFormat="1" ht="17.25" customHeight="1">
      <c r="A10" s="40"/>
      <c r="B10" s="162" t="s">
        <v>108</v>
      </c>
      <c r="C10" s="155">
        <v>3</v>
      </c>
      <c r="D10" s="156">
        <v>1</v>
      </c>
      <c r="E10" s="163" t="s">
        <v>179</v>
      </c>
      <c r="F10" s="146">
        <f t="shared" si="0"/>
        <v>-186250</v>
      </c>
      <c r="G10" s="58">
        <f t="shared" si="1"/>
        <v>0</v>
      </c>
      <c r="H10" s="58">
        <f t="shared" si="2"/>
        <v>0</v>
      </c>
      <c r="I10" s="46"/>
      <c r="J10" s="92"/>
      <c r="K10" s="160"/>
      <c r="L10" s="92"/>
      <c r="M10" s="46"/>
      <c r="N10" s="92"/>
      <c r="O10" s="84"/>
      <c r="P10" s="84"/>
      <c r="Q10" s="84"/>
      <c r="R10" s="46"/>
      <c r="S10" s="46">
        <v>-23600</v>
      </c>
      <c r="T10" s="46">
        <f t="shared" si="3"/>
        <v>0</v>
      </c>
      <c r="U10" s="84"/>
      <c r="V10" s="87"/>
      <c r="W10" s="46" t="str">
        <f t="shared" si="9"/>
        <v/>
      </c>
      <c r="X10" s="89"/>
      <c r="Y10" s="89"/>
      <c r="Z10" s="46" t="str">
        <f t="shared" si="10"/>
        <v/>
      </c>
      <c r="AA10" s="89"/>
      <c r="AB10" s="90"/>
      <c r="AC10" s="46">
        <v>-186250</v>
      </c>
      <c r="AD10" s="89">
        <v>1</v>
      </c>
      <c r="AE10" s="90"/>
      <c r="AF10" s="99">
        <v>23440</v>
      </c>
      <c r="AG10" s="90">
        <v>1</v>
      </c>
      <c r="AH10" s="46">
        <f t="shared" si="11"/>
        <v>7060</v>
      </c>
      <c r="AI10" s="90">
        <v>1</v>
      </c>
      <c r="AJ10" s="46" t="str">
        <f t="shared" si="12"/>
        <v/>
      </c>
      <c r="AK10" s="89"/>
      <c r="AL10" s="89"/>
      <c r="AM10" s="46">
        <f t="shared" si="13"/>
        <v>-6900</v>
      </c>
      <c r="AN10" s="91">
        <v>1</v>
      </c>
      <c r="AO10" s="46" t="str">
        <f t="shared" si="14"/>
        <v/>
      </c>
      <c r="AP10" s="89"/>
      <c r="AQ10" s="46" t="str">
        <f t="shared" si="4"/>
        <v/>
      </c>
      <c r="AR10" s="89"/>
      <c r="AS10" s="46" t="str">
        <f t="shared" si="5"/>
        <v/>
      </c>
      <c r="AT10" s="89"/>
      <c r="AU10" s="46" t="str">
        <f t="shared" si="6"/>
        <v/>
      </c>
      <c r="AV10" s="89"/>
      <c r="AW10" s="46" t="str">
        <f t="shared" si="7"/>
        <v/>
      </c>
      <c r="AX10" s="89"/>
      <c r="AY10" s="46"/>
      <c r="AZ10" s="143"/>
      <c r="BA10" s="46" t="str">
        <f t="shared" si="8"/>
        <v/>
      </c>
      <c r="BB10" s="143"/>
    </row>
    <row r="11" spans="1:54" s="41" customFormat="1" ht="17.25" customHeight="1">
      <c r="A11" s="40"/>
      <c r="B11" s="162" t="s">
        <v>85</v>
      </c>
      <c r="C11" s="155">
        <v>4</v>
      </c>
      <c r="D11" s="156">
        <v>1</v>
      </c>
      <c r="E11" s="163" t="s">
        <v>264</v>
      </c>
      <c r="F11" s="146">
        <f t="shared" si="0"/>
        <v>-190670</v>
      </c>
      <c r="G11" s="58">
        <f t="shared" si="1"/>
        <v>0</v>
      </c>
      <c r="H11" s="58">
        <f t="shared" si="2"/>
        <v>0</v>
      </c>
      <c r="I11" s="46"/>
      <c r="J11" s="92"/>
      <c r="K11" s="160"/>
      <c r="L11" s="92"/>
      <c r="M11" s="46"/>
      <c r="N11" s="92"/>
      <c r="O11" s="84"/>
      <c r="P11" s="84"/>
      <c r="Q11" s="84"/>
      <c r="R11" s="46"/>
      <c r="S11" s="46">
        <v>-23600</v>
      </c>
      <c r="T11" s="46">
        <f t="shared" si="3"/>
        <v>0</v>
      </c>
      <c r="U11" s="84"/>
      <c r="V11" s="87"/>
      <c r="W11" s="46" t="str">
        <f t="shared" si="9"/>
        <v/>
      </c>
      <c r="X11" s="89"/>
      <c r="Y11" s="89"/>
      <c r="Z11" s="46" t="str">
        <f t="shared" si="10"/>
        <v/>
      </c>
      <c r="AA11" s="89"/>
      <c r="AB11" s="90"/>
      <c r="AC11" s="46">
        <v>-186250</v>
      </c>
      <c r="AD11" s="89">
        <v>1</v>
      </c>
      <c r="AE11" s="90"/>
      <c r="AF11" s="99">
        <v>19020</v>
      </c>
      <c r="AG11" s="90">
        <v>1</v>
      </c>
      <c r="AH11" s="46">
        <f t="shared" si="11"/>
        <v>7060</v>
      </c>
      <c r="AI11" s="90">
        <v>1</v>
      </c>
      <c r="AJ11" s="46" t="str">
        <f t="shared" si="12"/>
        <v/>
      </c>
      <c r="AK11" s="89"/>
      <c r="AL11" s="89"/>
      <c r="AM11" s="46">
        <f t="shared" si="13"/>
        <v>-6900</v>
      </c>
      <c r="AN11" s="91">
        <v>1</v>
      </c>
      <c r="AO11" s="46" t="str">
        <f t="shared" si="14"/>
        <v/>
      </c>
      <c r="AP11" s="89"/>
      <c r="AQ11" s="46" t="str">
        <f t="shared" si="4"/>
        <v/>
      </c>
      <c r="AR11" s="89"/>
      <c r="AS11" s="46" t="str">
        <f t="shared" si="5"/>
        <v/>
      </c>
      <c r="AT11" s="89"/>
      <c r="AU11" s="46" t="str">
        <f t="shared" si="6"/>
        <v/>
      </c>
      <c r="AV11" s="89"/>
      <c r="AW11" s="46" t="str">
        <f t="shared" si="7"/>
        <v/>
      </c>
      <c r="AX11" s="89"/>
      <c r="AY11" s="46"/>
      <c r="AZ11" s="143"/>
      <c r="BA11" s="46" t="str">
        <f t="shared" si="8"/>
        <v/>
      </c>
      <c r="BB11" s="143"/>
    </row>
    <row r="12" spans="1:54" s="41" customFormat="1" ht="17.25" customHeight="1">
      <c r="A12" s="40"/>
      <c r="B12" s="162" t="s">
        <v>124</v>
      </c>
      <c r="C12" s="155">
        <v>5</v>
      </c>
      <c r="D12" s="156">
        <v>1</v>
      </c>
      <c r="E12" s="163" t="s">
        <v>276</v>
      </c>
      <c r="F12" s="146">
        <f t="shared" si="0"/>
        <v>-167070</v>
      </c>
      <c r="G12" s="58">
        <f t="shared" si="1"/>
        <v>0</v>
      </c>
      <c r="H12" s="58">
        <f t="shared" si="2"/>
        <v>0</v>
      </c>
      <c r="I12" s="46"/>
      <c r="J12" s="92"/>
      <c r="K12" s="160"/>
      <c r="L12" s="92"/>
      <c r="M12" s="46"/>
      <c r="N12" s="92"/>
      <c r="O12" s="84"/>
      <c r="P12" s="84"/>
      <c r="Q12" s="84"/>
      <c r="R12" s="46"/>
      <c r="S12" s="46"/>
      <c r="T12" s="46"/>
      <c r="U12" s="84"/>
      <c r="V12" s="87"/>
      <c r="W12" s="46" t="str">
        <f t="shared" si="9"/>
        <v/>
      </c>
      <c r="X12" s="89"/>
      <c r="Y12" s="89"/>
      <c r="Z12" s="46" t="str">
        <f t="shared" si="10"/>
        <v/>
      </c>
      <c r="AA12" s="89"/>
      <c r="AB12" s="90"/>
      <c r="AC12" s="46">
        <v>-186250</v>
      </c>
      <c r="AD12" s="89">
        <v>1</v>
      </c>
      <c r="AE12" s="90"/>
      <c r="AF12" s="99">
        <v>19020</v>
      </c>
      <c r="AG12" s="90">
        <v>1</v>
      </c>
      <c r="AH12" s="46">
        <f t="shared" si="11"/>
        <v>7060</v>
      </c>
      <c r="AI12" s="90">
        <v>1</v>
      </c>
      <c r="AJ12" s="46" t="str">
        <f t="shared" si="12"/>
        <v/>
      </c>
      <c r="AK12" s="89"/>
      <c r="AL12" s="89"/>
      <c r="AM12" s="46">
        <f t="shared" si="13"/>
        <v>-6900</v>
      </c>
      <c r="AN12" s="91">
        <v>1</v>
      </c>
      <c r="AO12" s="46" t="str">
        <f t="shared" si="14"/>
        <v/>
      </c>
      <c r="AP12" s="89"/>
      <c r="AQ12" s="46" t="str">
        <f t="shared" si="4"/>
        <v/>
      </c>
      <c r="AR12" s="89"/>
      <c r="AS12" s="46" t="str">
        <f t="shared" si="5"/>
        <v/>
      </c>
      <c r="AT12" s="89"/>
      <c r="AU12" s="46" t="str">
        <f t="shared" si="6"/>
        <v/>
      </c>
      <c r="AV12" s="89"/>
      <c r="AW12" s="46" t="str">
        <f t="shared" si="7"/>
        <v/>
      </c>
      <c r="AX12" s="89"/>
      <c r="AY12" s="46"/>
      <c r="AZ12" s="143"/>
      <c r="BA12" s="46" t="str">
        <f t="shared" si="8"/>
        <v/>
      </c>
      <c r="BB12" s="143"/>
    </row>
    <row r="13" spans="1:54" s="41" customFormat="1" ht="17.25" customHeight="1">
      <c r="A13" s="40"/>
      <c r="B13" s="162" t="s">
        <v>167</v>
      </c>
      <c r="C13" s="155">
        <v>6</v>
      </c>
      <c r="D13" s="156">
        <v>1</v>
      </c>
      <c r="E13" s="163" t="s">
        <v>181</v>
      </c>
      <c r="F13" s="146">
        <f t="shared" si="0"/>
        <v>-190670</v>
      </c>
      <c r="G13" s="58">
        <f t="shared" si="1"/>
        <v>0</v>
      </c>
      <c r="H13" s="58">
        <f t="shared" si="2"/>
        <v>0</v>
      </c>
      <c r="I13" s="46"/>
      <c r="J13" s="92"/>
      <c r="K13" s="160"/>
      <c r="L13" s="92"/>
      <c r="M13" s="46"/>
      <c r="N13" s="92"/>
      <c r="O13" s="84"/>
      <c r="P13" s="84"/>
      <c r="Q13" s="84"/>
      <c r="R13" s="46"/>
      <c r="S13" s="46">
        <v>-23600</v>
      </c>
      <c r="T13" s="46">
        <f t="shared" si="3"/>
        <v>0</v>
      </c>
      <c r="U13" s="84"/>
      <c r="V13" s="87"/>
      <c r="W13" s="46" t="str">
        <f t="shared" si="9"/>
        <v/>
      </c>
      <c r="X13" s="89"/>
      <c r="Y13" s="89"/>
      <c r="Z13" s="46" t="str">
        <f t="shared" si="10"/>
        <v/>
      </c>
      <c r="AA13" s="89"/>
      <c r="AB13" s="90"/>
      <c r="AC13" s="46">
        <v>-186250</v>
      </c>
      <c r="AD13" s="89">
        <v>1</v>
      </c>
      <c r="AE13" s="90"/>
      <c r="AF13" s="99">
        <v>19020</v>
      </c>
      <c r="AG13" s="90">
        <v>1</v>
      </c>
      <c r="AH13" s="46">
        <f t="shared" si="11"/>
        <v>7060</v>
      </c>
      <c r="AI13" s="90">
        <v>1</v>
      </c>
      <c r="AJ13" s="46" t="str">
        <f t="shared" si="12"/>
        <v/>
      </c>
      <c r="AK13" s="89"/>
      <c r="AL13" s="89"/>
      <c r="AM13" s="46">
        <f t="shared" si="13"/>
        <v>-6900</v>
      </c>
      <c r="AN13" s="91">
        <v>1</v>
      </c>
      <c r="AO13" s="46" t="str">
        <f t="shared" si="14"/>
        <v/>
      </c>
      <c r="AP13" s="89"/>
      <c r="AQ13" s="46" t="str">
        <f t="shared" si="4"/>
        <v/>
      </c>
      <c r="AR13" s="89"/>
      <c r="AS13" s="46" t="str">
        <f t="shared" si="5"/>
        <v/>
      </c>
      <c r="AT13" s="89"/>
      <c r="AU13" s="46" t="str">
        <f t="shared" si="6"/>
        <v/>
      </c>
      <c r="AV13" s="89"/>
      <c r="AW13" s="46" t="str">
        <f t="shared" si="7"/>
        <v/>
      </c>
      <c r="AX13" s="89"/>
      <c r="AY13" s="46"/>
      <c r="AZ13" s="143"/>
      <c r="BA13" s="46" t="str">
        <f t="shared" si="8"/>
        <v/>
      </c>
      <c r="BB13" s="143"/>
    </row>
    <row r="14" spans="1:54" s="41" customFormat="1" ht="17.25" customHeight="1">
      <c r="A14" s="40"/>
      <c r="B14" s="162" t="s">
        <v>104</v>
      </c>
      <c r="C14" s="155">
        <v>7</v>
      </c>
      <c r="D14" s="156">
        <v>1</v>
      </c>
      <c r="E14" s="163" t="s">
        <v>202</v>
      </c>
      <c r="F14" s="146">
        <f t="shared" si="0"/>
        <v>-193670</v>
      </c>
      <c r="G14" s="58">
        <f t="shared" si="1"/>
        <v>0</v>
      </c>
      <c r="H14" s="58">
        <f t="shared" si="2"/>
        <v>0</v>
      </c>
      <c r="I14" s="46"/>
      <c r="J14" s="92"/>
      <c r="K14" s="160"/>
      <c r="L14" s="92"/>
      <c r="M14" s="46"/>
      <c r="N14" s="92"/>
      <c r="O14" s="84"/>
      <c r="P14" s="84"/>
      <c r="Q14" s="84"/>
      <c r="R14" s="46"/>
      <c r="S14" s="46">
        <v>-23600</v>
      </c>
      <c r="T14" s="46">
        <f t="shared" si="3"/>
        <v>0</v>
      </c>
      <c r="U14" s="84"/>
      <c r="V14" s="87"/>
      <c r="W14" s="46" t="str">
        <f t="shared" si="9"/>
        <v/>
      </c>
      <c r="X14" s="89"/>
      <c r="Y14" s="89"/>
      <c r="Z14" s="46" t="str">
        <f t="shared" si="10"/>
        <v/>
      </c>
      <c r="AA14" s="89"/>
      <c r="AB14" s="90"/>
      <c r="AC14" s="46">
        <v>-186250</v>
      </c>
      <c r="AD14" s="89">
        <v>1</v>
      </c>
      <c r="AE14" s="90"/>
      <c r="AF14" s="99">
        <v>16020</v>
      </c>
      <c r="AG14" s="90">
        <v>1</v>
      </c>
      <c r="AH14" s="46">
        <f t="shared" si="11"/>
        <v>7060</v>
      </c>
      <c r="AI14" s="90">
        <v>1</v>
      </c>
      <c r="AJ14" s="46" t="str">
        <f t="shared" si="12"/>
        <v/>
      </c>
      <c r="AK14" s="89"/>
      <c r="AL14" s="89"/>
      <c r="AM14" s="46">
        <f t="shared" si="13"/>
        <v>-6900</v>
      </c>
      <c r="AN14" s="91">
        <v>1</v>
      </c>
      <c r="AO14" s="46" t="str">
        <f t="shared" si="14"/>
        <v/>
      </c>
      <c r="AP14" s="89"/>
      <c r="AQ14" s="46" t="str">
        <f t="shared" si="4"/>
        <v/>
      </c>
      <c r="AR14" s="89"/>
      <c r="AS14" s="46" t="str">
        <f t="shared" si="5"/>
        <v/>
      </c>
      <c r="AT14" s="89"/>
      <c r="AU14" s="46" t="str">
        <f t="shared" si="6"/>
        <v/>
      </c>
      <c r="AV14" s="89"/>
      <c r="AW14" s="46" t="str">
        <f t="shared" si="7"/>
        <v/>
      </c>
      <c r="AX14" s="89"/>
      <c r="AY14" s="46"/>
      <c r="AZ14" s="143"/>
      <c r="BA14" s="46" t="str">
        <f t="shared" si="8"/>
        <v/>
      </c>
      <c r="BB14" s="143"/>
    </row>
    <row r="15" spans="1:54" s="41" customFormat="1" ht="17.25" customHeight="1">
      <c r="A15" s="40"/>
      <c r="B15" s="162" t="s">
        <v>27</v>
      </c>
      <c r="C15" s="155">
        <v>8</v>
      </c>
      <c r="D15" s="156">
        <v>1</v>
      </c>
      <c r="E15" s="163" t="s">
        <v>222</v>
      </c>
      <c r="F15" s="146">
        <f t="shared" si="0"/>
        <v>-193670</v>
      </c>
      <c r="G15" s="58">
        <f t="shared" si="1"/>
        <v>0</v>
      </c>
      <c r="H15" s="58">
        <f t="shared" si="2"/>
        <v>0</v>
      </c>
      <c r="I15" s="46"/>
      <c r="J15" s="92"/>
      <c r="K15" s="160"/>
      <c r="L15" s="92"/>
      <c r="M15" s="46"/>
      <c r="N15" s="92"/>
      <c r="O15" s="84"/>
      <c r="P15" s="84"/>
      <c r="Q15" s="84"/>
      <c r="R15" s="46"/>
      <c r="S15" s="46">
        <v>-23600</v>
      </c>
      <c r="T15" s="46">
        <f t="shared" si="3"/>
        <v>0</v>
      </c>
      <c r="U15" s="84"/>
      <c r="V15" s="87"/>
      <c r="W15" s="46" t="str">
        <f t="shared" si="9"/>
        <v/>
      </c>
      <c r="X15" s="89"/>
      <c r="Y15" s="89"/>
      <c r="Z15" s="46" t="str">
        <f t="shared" si="10"/>
        <v/>
      </c>
      <c r="AA15" s="89"/>
      <c r="AB15" s="90"/>
      <c r="AC15" s="46">
        <v>-186250</v>
      </c>
      <c r="AD15" s="89">
        <v>1</v>
      </c>
      <c r="AE15" s="90"/>
      <c r="AF15" s="99">
        <v>16020</v>
      </c>
      <c r="AG15" s="90">
        <v>1</v>
      </c>
      <c r="AH15" s="46">
        <f t="shared" si="11"/>
        <v>7060</v>
      </c>
      <c r="AI15" s="90">
        <v>1</v>
      </c>
      <c r="AJ15" s="46" t="str">
        <f t="shared" si="12"/>
        <v/>
      </c>
      <c r="AK15" s="89"/>
      <c r="AL15" s="89"/>
      <c r="AM15" s="46">
        <f t="shared" si="13"/>
        <v>-6900</v>
      </c>
      <c r="AN15" s="91">
        <v>1</v>
      </c>
      <c r="AO15" s="46" t="str">
        <f t="shared" si="14"/>
        <v/>
      </c>
      <c r="AP15" s="89"/>
      <c r="AQ15" s="46" t="str">
        <f t="shared" si="4"/>
        <v/>
      </c>
      <c r="AR15" s="89"/>
      <c r="AS15" s="46" t="str">
        <f t="shared" si="5"/>
        <v/>
      </c>
      <c r="AT15" s="89"/>
      <c r="AU15" s="46" t="str">
        <f t="shared" si="6"/>
        <v/>
      </c>
      <c r="AV15" s="89"/>
      <c r="AW15" s="46" t="str">
        <f t="shared" si="7"/>
        <v/>
      </c>
      <c r="AX15" s="89"/>
      <c r="AY15" s="46"/>
      <c r="AZ15" s="143"/>
      <c r="BA15" s="46" t="str">
        <f t="shared" si="8"/>
        <v/>
      </c>
      <c r="BB15" s="143"/>
    </row>
    <row r="16" spans="1:54" s="41" customFormat="1" ht="17.25" customHeight="1">
      <c r="A16" s="40"/>
      <c r="B16" s="162" t="s">
        <v>166</v>
      </c>
      <c r="C16" s="155">
        <v>9</v>
      </c>
      <c r="D16" s="156">
        <v>1</v>
      </c>
      <c r="E16" s="163" t="s">
        <v>209</v>
      </c>
      <c r="F16" s="146">
        <f t="shared" si="0"/>
        <v>-193670</v>
      </c>
      <c r="G16" s="58">
        <f t="shared" si="1"/>
        <v>0</v>
      </c>
      <c r="H16" s="58">
        <f t="shared" si="2"/>
        <v>0</v>
      </c>
      <c r="I16" s="46"/>
      <c r="J16" s="92"/>
      <c r="K16" s="160"/>
      <c r="L16" s="92"/>
      <c r="M16" s="46"/>
      <c r="N16" s="92"/>
      <c r="O16" s="84"/>
      <c r="P16" s="84"/>
      <c r="Q16" s="84"/>
      <c r="R16" s="46"/>
      <c r="S16" s="46">
        <v>-23600</v>
      </c>
      <c r="T16" s="46">
        <f t="shared" si="3"/>
        <v>0</v>
      </c>
      <c r="U16" s="84"/>
      <c r="V16" s="87"/>
      <c r="W16" s="46" t="str">
        <f t="shared" si="9"/>
        <v/>
      </c>
      <c r="X16" s="89"/>
      <c r="Y16" s="89"/>
      <c r="Z16" s="46" t="str">
        <f t="shared" si="10"/>
        <v/>
      </c>
      <c r="AA16" s="89"/>
      <c r="AB16" s="90"/>
      <c r="AC16" s="46">
        <v>-186250</v>
      </c>
      <c r="AD16" s="89">
        <v>1</v>
      </c>
      <c r="AE16" s="90"/>
      <c r="AF16" s="99">
        <v>16020</v>
      </c>
      <c r="AG16" s="90">
        <v>1</v>
      </c>
      <c r="AH16" s="46">
        <f t="shared" si="11"/>
        <v>7060</v>
      </c>
      <c r="AI16" s="90">
        <v>1</v>
      </c>
      <c r="AJ16" s="46" t="str">
        <f t="shared" si="12"/>
        <v/>
      </c>
      <c r="AK16" s="89"/>
      <c r="AL16" s="89"/>
      <c r="AM16" s="46">
        <f t="shared" si="13"/>
        <v>-6900</v>
      </c>
      <c r="AN16" s="91">
        <v>1</v>
      </c>
      <c r="AO16" s="46" t="str">
        <f t="shared" si="14"/>
        <v/>
      </c>
      <c r="AP16" s="89"/>
      <c r="AQ16" s="46" t="str">
        <f t="shared" si="4"/>
        <v/>
      </c>
      <c r="AR16" s="89"/>
      <c r="AS16" s="46" t="str">
        <f t="shared" si="5"/>
        <v/>
      </c>
      <c r="AT16" s="89"/>
      <c r="AU16" s="46" t="str">
        <f t="shared" si="6"/>
        <v/>
      </c>
      <c r="AV16" s="89"/>
      <c r="AW16" s="46" t="str">
        <f t="shared" si="7"/>
        <v/>
      </c>
      <c r="AX16" s="89"/>
      <c r="AY16" s="46"/>
      <c r="AZ16" s="143"/>
      <c r="BA16" s="46" t="str">
        <f t="shared" si="8"/>
        <v/>
      </c>
      <c r="BB16" s="143"/>
    </row>
    <row r="17" spans="1:54" s="41" customFormat="1" ht="17.25" customHeight="1">
      <c r="A17" s="40"/>
      <c r="B17" s="162" t="s">
        <v>116</v>
      </c>
      <c r="C17" s="155">
        <v>10</v>
      </c>
      <c r="D17" s="156">
        <v>1</v>
      </c>
      <c r="E17" s="163" t="s">
        <v>180</v>
      </c>
      <c r="F17" s="146">
        <f t="shared" si="0"/>
        <v>-192680</v>
      </c>
      <c r="G17" s="58">
        <f t="shared" si="1"/>
        <v>0</v>
      </c>
      <c r="H17" s="58">
        <f t="shared" si="2"/>
        <v>0</v>
      </c>
      <c r="I17" s="46"/>
      <c r="J17" s="92"/>
      <c r="K17" s="160"/>
      <c r="L17" s="92"/>
      <c r="M17" s="46"/>
      <c r="N17" s="92"/>
      <c r="O17" s="84"/>
      <c r="P17" s="84"/>
      <c r="Q17" s="84"/>
      <c r="R17" s="46"/>
      <c r="S17" s="46">
        <v>-23600</v>
      </c>
      <c r="T17" s="46">
        <f t="shared" si="3"/>
        <v>0</v>
      </c>
      <c r="U17" s="84"/>
      <c r="V17" s="87"/>
      <c r="W17" s="46" t="str">
        <f t="shared" si="9"/>
        <v/>
      </c>
      <c r="X17" s="89"/>
      <c r="Y17" s="89"/>
      <c r="Z17" s="46" t="str">
        <f t="shared" si="10"/>
        <v/>
      </c>
      <c r="AA17" s="89"/>
      <c r="AB17" s="90"/>
      <c r="AC17" s="46">
        <v>-186250</v>
      </c>
      <c r="AD17" s="89">
        <v>1</v>
      </c>
      <c r="AE17" s="90"/>
      <c r="AF17" s="99">
        <v>17010</v>
      </c>
      <c r="AG17" s="90">
        <v>1</v>
      </c>
      <c r="AH17" s="46">
        <f t="shared" si="11"/>
        <v>7060</v>
      </c>
      <c r="AI17" s="90">
        <v>1</v>
      </c>
      <c r="AJ17" s="46" t="str">
        <f t="shared" si="12"/>
        <v/>
      </c>
      <c r="AK17" s="89"/>
      <c r="AL17" s="89"/>
      <c r="AM17" s="46">
        <f t="shared" si="13"/>
        <v>-6900</v>
      </c>
      <c r="AN17" s="91">
        <v>1</v>
      </c>
      <c r="AO17" s="46" t="str">
        <f t="shared" si="14"/>
        <v/>
      </c>
      <c r="AP17" s="89"/>
      <c r="AQ17" s="46" t="str">
        <f t="shared" si="4"/>
        <v/>
      </c>
      <c r="AR17" s="89"/>
      <c r="AS17" s="46" t="str">
        <f t="shared" si="5"/>
        <v/>
      </c>
      <c r="AT17" s="89"/>
      <c r="AU17" s="46" t="str">
        <f t="shared" si="6"/>
        <v/>
      </c>
      <c r="AV17" s="89"/>
      <c r="AW17" s="46" t="str">
        <f t="shared" si="7"/>
        <v/>
      </c>
      <c r="AX17" s="89"/>
      <c r="AY17" s="46"/>
      <c r="AZ17" s="143"/>
      <c r="BA17" s="46" t="str">
        <f t="shared" si="8"/>
        <v/>
      </c>
      <c r="BB17" s="143"/>
    </row>
    <row r="18" spans="1:54" s="41" customFormat="1" ht="17.25" customHeight="1">
      <c r="A18" s="40"/>
      <c r="B18" s="162" t="s">
        <v>80</v>
      </c>
      <c r="C18" s="155">
        <v>11</v>
      </c>
      <c r="D18" s="156">
        <v>1</v>
      </c>
      <c r="E18" s="163" t="s">
        <v>256</v>
      </c>
      <c r="F18" s="146">
        <f t="shared" si="0"/>
        <v>-169080</v>
      </c>
      <c r="G18" s="58">
        <f t="shared" si="1"/>
        <v>0</v>
      </c>
      <c r="H18" s="58">
        <f t="shared" si="2"/>
        <v>0</v>
      </c>
      <c r="I18" s="46"/>
      <c r="J18" s="92"/>
      <c r="K18" s="160"/>
      <c r="L18" s="92"/>
      <c r="M18" s="46"/>
      <c r="N18" s="92"/>
      <c r="O18" s="84"/>
      <c r="P18" s="84"/>
      <c r="Q18" s="84"/>
      <c r="R18" s="46"/>
      <c r="S18" s="46"/>
      <c r="T18" s="46"/>
      <c r="U18" s="84"/>
      <c r="V18" s="87"/>
      <c r="W18" s="46" t="str">
        <f t="shared" si="9"/>
        <v/>
      </c>
      <c r="X18" s="89"/>
      <c r="Y18" s="89"/>
      <c r="Z18" s="46" t="str">
        <f t="shared" si="10"/>
        <v/>
      </c>
      <c r="AA18" s="89"/>
      <c r="AB18" s="90"/>
      <c r="AC18" s="46">
        <v>-186250</v>
      </c>
      <c r="AD18" s="89">
        <v>1</v>
      </c>
      <c r="AE18" s="90"/>
      <c r="AF18" s="99">
        <v>17010</v>
      </c>
      <c r="AG18" s="90">
        <v>1</v>
      </c>
      <c r="AH18" s="46">
        <f t="shared" si="11"/>
        <v>7060</v>
      </c>
      <c r="AI18" s="90">
        <v>1</v>
      </c>
      <c r="AJ18" s="46" t="str">
        <f t="shared" si="12"/>
        <v/>
      </c>
      <c r="AK18" s="89"/>
      <c r="AL18" s="89"/>
      <c r="AM18" s="46">
        <f t="shared" si="13"/>
        <v>-6900</v>
      </c>
      <c r="AN18" s="91">
        <v>1</v>
      </c>
      <c r="AO18" s="46" t="str">
        <f t="shared" si="14"/>
        <v/>
      </c>
      <c r="AP18" s="89"/>
      <c r="AQ18" s="46" t="str">
        <f t="shared" si="4"/>
        <v/>
      </c>
      <c r="AR18" s="89"/>
      <c r="AS18" s="46" t="str">
        <f t="shared" si="5"/>
        <v/>
      </c>
      <c r="AT18" s="89"/>
      <c r="AU18" s="46" t="str">
        <f t="shared" si="6"/>
        <v/>
      </c>
      <c r="AV18" s="89"/>
      <c r="AW18" s="46" t="str">
        <f t="shared" si="7"/>
        <v/>
      </c>
      <c r="AX18" s="89"/>
      <c r="AY18" s="46"/>
      <c r="AZ18" s="143"/>
      <c r="BA18" s="46" t="str">
        <f t="shared" si="8"/>
        <v/>
      </c>
      <c r="BB18" s="143"/>
    </row>
    <row r="19" spans="1:54" s="41" customFormat="1" ht="17.25" customHeight="1">
      <c r="A19" s="40"/>
      <c r="B19" s="162" t="s">
        <v>114</v>
      </c>
      <c r="C19" s="155">
        <v>12</v>
      </c>
      <c r="D19" s="156">
        <v>1</v>
      </c>
      <c r="E19" s="163" t="s">
        <v>227</v>
      </c>
      <c r="F19" s="146">
        <f t="shared" si="0"/>
        <v>-192680</v>
      </c>
      <c r="G19" s="58">
        <f t="shared" si="1"/>
        <v>0</v>
      </c>
      <c r="H19" s="58">
        <f t="shared" si="2"/>
        <v>0</v>
      </c>
      <c r="I19" s="46"/>
      <c r="J19" s="92"/>
      <c r="K19" s="160"/>
      <c r="L19" s="92"/>
      <c r="M19" s="46"/>
      <c r="N19" s="92"/>
      <c r="O19" s="84"/>
      <c r="P19" s="84"/>
      <c r="Q19" s="84"/>
      <c r="R19" s="46"/>
      <c r="S19" s="46">
        <v>-23600</v>
      </c>
      <c r="T19" s="46">
        <f t="shared" si="3"/>
        <v>0</v>
      </c>
      <c r="U19" s="84"/>
      <c r="V19" s="87"/>
      <c r="W19" s="46" t="str">
        <f t="shared" si="9"/>
        <v/>
      </c>
      <c r="X19" s="89"/>
      <c r="Y19" s="89"/>
      <c r="Z19" s="46" t="str">
        <f t="shared" si="10"/>
        <v/>
      </c>
      <c r="AA19" s="89"/>
      <c r="AB19" s="90"/>
      <c r="AC19" s="46">
        <v>-186250</v>
      </c>
      <c r="AD19" s="89">
        <v>1</v>
      </c>
      <c r="AE19" s="90"/>
      <c r="AF19" s="99">
        <v>17010</v>
      </c>
      <c r="AG19" s="90">
        <v>1</v>
      </c>
      <c r="AH19" s="46">
        <f t="shared" si="11"/>
        <v>7060</v>
      </c>
      <c r="AI19" s="90">
        <v>1</v>
      </c>
      <c r="AJ19" s="46" t="str">
        <f t="shared" si="12"/>
        <v/>
      </c>
      <c r="AK19" s="89"/>
      <c r="AL19" s="89"/>
      <c r="AM19" s="46">
        <f t="shared" si="13"/>
        <v>-6900</v>
      </c>
      <c r="AN19" s="91">
        <v>1</v>
      </c>
      <c r="AO19" s="46" t="str">
        <f t="shared" si="14"/>
        <v/>
      </c>
      <c r="AP19" s="89"/>
      <c r="AQ19" s="46" t="str">
        <f t="shared" si="4"/>
        <v/>
      </c>
      <c r="AR19" s="89"/>
      <c r="AS19" s="46" t="str">
        <f t="shared" si="5"/>
        <v/>
      </c>
      <c r="AT19" s="89"/>
      <c r="AU19" s="46" t="str">
        <f t="shared" si="6"/>
        <v/>
      </c>
      <c r="AV19" s="89"/>
      <c r="AW19" s="46" t="str">
        <f t="shared" si="7"/>
        <v/>
      </c>
      <c r="AX19" s="89"/>
      <c r="AY19" s="46"/>
      <c r="AZ19" s="143"/>
      <c r="BA19" s="46" t="str">
        <f t="shared" si="8"/>
        <v/>
      </c>
      <c r="BB19" s="143"/>
    </row>
    <row r="20" spans="1:54" s="41" customFormat="1" ht="17.25" customHeight="1">
      <c r="A20" s="40"/>
      <c r="B20" s="162" t="s">
        <v>4</v>
      </c>
      <c r="C20" s="155">
        <v>13</v>
      </c>
      <c r="D20" s="156">
        <v>1</v>
      </c>
      <c r="E20" s="163" t="s">
        <v>265</v>
      </c>
      <c r="F20" s="146">
        <f t="shared" si="0"/>
        <v>-193670</v>
      </c>
      <c r="G20" s="58">
        <f t="shared" si="1"/>
        <v>0</v>
      </c>
      <c r="H20" s="58">
        <f t="shared" si="2"/>
        <v>0</v>
      </c>
      <c r="I20" s="46"/>
      <c r="J20" s="92"/>
      <c r="K20" s="160"/>
      <c r="L20" s="92"/>
      <c r="M20" s="46"/>
      <c r="N20" s="92"/>
      <c r="O20" s="84"/>
      <c r="P20" s="84"/>
      <c r="Q20" s="84"/>
      <c r="R20" s="46"/>
      <c r="S20" s="46">
        <v>-23600</v>
      </c>
      <c r="T20" s="46">
        <f t="shared" si="3"/>
        <v>0</v>
      </c>
      <c r="U20" s="84"/>
      <c r="V20" s="87"/>
      <c r="W20" s="46" t="str">
        <f t="shared" si="9"/>
        <v/>
      </c>
      <c r="X20" s="89"/>
      <c r="Y20" s="89"/>
      <c r="Z20" s="46" t="str">
        <f t="shared" si="10"/>
        <v/>
      </c>
      <c r="AA20" s="89"/>
      <c r="AB20" s="90"/>
      <c r="AC20" s="46">
        <v>-186250</v>
      </c>
      <c r="AD20" s="89">
        <v>1</v>
      </c>
      <c r="AE20" s="90"/>
      <c r="AF20" s="99">
        <v>16020</v>
      </c>
      <c r="AG20" s="90">
        <v>1</v>
      </c>
      <c r="AH20" s="46">
        <f t="shared" si="11"/>
        <v>7060</v>
      </c>
      <c r="AI20" s="90">
        <v>1</v>
      </c>
      <c r="AJ20" s="46" t="str">
        <f t="shared" si="12"/>
        <v/>
      </c>
      <c r="AK20" s="89"/>
      <c r="AL20" s="89"/>
      <c r="AM20" s="46">
        <f t="shared" si="13"/>
        <v>-6900</v>
      </c>
      <c r="AN20" s="91">
        <v>1</v>
      </c>
      <c r="AO20" s="46" t="str">
        <f t="shared" si="14"/>
        <v/>
      </c>
      <c r="AP20" s="89"/>
      <c r="AQ20" s="46" t="str">
        <f t="shared" si="4"/>
        <v/>
      </c>
      <c r="AR20" s="89"/>
      <c r="AS20" s="46" t="str">
        <f t="shared" si="5"/>
        <v/>
      </c>
      <c r="AT20" s="89"/>
      <c r="AU20" s="46" t="str">
        <f t="shared" si="6"/>
        <v/>
      </c>
      <c r="AV20" s="89"/>
      <c r="AW20" s="46" t="str">
        <f t="shared" si="7"/>
        <v/>
      </c>
      <c r="AX20" s="89"/>
      <c r="AY20" s="46"/>
      <c r="AZ20" s="143"/>
      <c r="BA20" s="46" t="str">
        <f t="shared" si="8"/>
        <v/>
      </c>
      <c r="BB20" s="143"/>
    </row>
    <row r="21" spans="1:54" s="41" customFormat="1" ht="17.25" customHeight="1">
      <c r="A21" s="40"/>
      <c r="B21" s="162" t="s">
        <v>40</v>
      </c>
      <c r="C21" s="155">
        <v>14</v>
      </c>
      <c r="D21" s="156">
        <v>1</v>
      </c>
      <c r="E21" s="163" t="s">
        <v>210</v>
      </c>
      <c r="F21" s="146">
        <f t="shared" si="0"/>
        <v>-192680</v>
      </c>
      <c r="G21" s="58">
        <f t="shared" si="1"/>
        <v>0</v>
      </c>
      <c r="H21" s="58">
        <f t="shared" si="2"/>
        <v>0</v>
      </c>
      <c r="I21" s="46"/>
      <c r="J21" s="92"/>
      <c r="K21" s="160"/>
      <c r="L21" s="92"/>
      <c r="M21" s="46"/>
      <c r="N21" s="92"/>
      <c r="O21" s="84"/>
      <c r="P21" s="84"/>
      <c r="Q21" s="84"/>
      <c r="R21" s="46"/>
      <c r="S21" s="46">
        <v>-23600</v>
      </c>
      <c r="T21" s="46">
        <f t="shared" si="3"/>
        <v>0</v>
      </c>
      <c r="U21" s="84"/>
      <c r="V21" s="87"/>
      <c r="W21" s="46" t="str">
        <f t="shared" si="9"/>
        <v/>
      </c>
      <c r="X21" s="89"/>
      <c r="Y21" s="89"/>
      <c r="Z21" s="46" t="str">
        <f t="shared" si="10"/>
        <v/>
      </c>
      <c r="AA21" s="89"/>
      <c r="AB21" s="90"/>
      <c r="AC21" s="46">
        <v>-186250</v>
      </c>
      <c r="AD21" s="89">
        <v>1</v>
      </c>
      <c r="AE21" s="90"/>
      <c r="AF21" s="99">
        <v>17010</v>
      </c>
      <c r="AG21" s="90">
        <v>1</v>
      </c>
      <c r="AH21" s="46">
        <f t="shared" si="11"/>
        <v>7060</v>
      </c>
      <c r="AI21" s="90">
        <v>1</v>
      </c>
      <c r="AJ21" s="46" t="str">
        <f t="shared" si="12"/>
        <v/>
      </c>
      <c r="AK21" s="89"/>
      <c r="AL21" s="89"/>
      <c r="AM21" s="46">
        <f t="shared" si="13"/>
        <v>-6900</v>
      </c>
      <c r="AN21" s="91">
        <v>1</v>
      </c>
      <c r="AO21" s="46" t="str">
        <f t="shared" si="14"/>
        <v/>
      </c>
      <c r="AP21" s="89"/>
      <c r="AQ21" s="46" t="str">
        <f t="shared" si="4"/>
        <v/>
      </c>
      <c r="AR21" s="89"/>
      <c r="AS21" s="46" t="str">
        <f t="shared" si="5"/>
        <v/>
      </c>
      <c r="AT21" s="89"/>
      <c r="AU21" s="46" t="str">
        <f t="shared" si="6"/>
        <v/>
      </c>
      <c r="AV21" s="89"/>
      <c r="AW21" s="46" t="str">
        <f t="shared" si="7"/>
        <v/>
      </c>
      <c r="AX21" s="89"/>
      <c r="AY21" s="46"/>
      <c r="AZ21" s="143"/>
      <c r="BA21" s="46" t="str">
        <f t="shared" si="8"/>
        <v/>
      </c>
      <c r="BB21" s="143"/>
    </row>
    <row r="22" spans="1:54" s="41" customFormat="1" ht="17.25" customHeight="1">
      <c r="A22" s="40"/>
      <c r="B22" s="162" t="s">
        <v>68</v>
      </c>
      <c r="C22" s="155">
        <v>15</v>
      </c>
      <c r="D22" s="156">
        <v>1</v>
      </c>
      <c r="E22" s="163" t="s">
        <v>252</v>
      </c>
      <c r="F22" s="146">
        <f t="shared" si="0"/>
        <v>-192680</v>
      </c>
      <c r="G22" s="58">
        <f t="shared" si="1"/>
        <v>0</v>
      </c>
      <c r="H22" s="58">
        <f t="shared" si="2"/>
        <v>0</v>
      </c>
      <c r="I22" s="46"/>
      <c r="J22" s="92"/>
      <c r="K22" s="160"/>
      <c r="L22" s="92"/>
      <c r="M22" s="46"/>
      <c r="N22" s="92"/>
      <c r="O22" s="84"/>
      <c r="P22" s="84"/>
      <c r="Q22" s="84"/>
      <c r="R22" s="46"/>
      <c r="S22" s="46">
        <v>-23600</v>
      </c>
      <c r="T22" s="46">
        <f t="shared" si="3"/>
        <v>0</v>
      </c>
      <c r="U22" s="84"/>
      <c r="V22" s="87"/>
      <c r="W22" s="46" t="str">
        <f t="shared" si="9"/>
        <v/>
      </c>
      <c r="X22" s="89"/>
      <c r="Y22" s="89"/>
      <c r="Z22" s="46" t="str">
        <f t="shared" si="10"/>
        <v/>
      </c>
      <c r="AA22" s="89"/>
      <c r="AB22" s="90"/>
      <c r="AC22" s="46">
        <v>-186250</v>
      </c>
      <c r="AD22" s="89">
        <v>1</v>
      </c>
      <c r="AE22" s="90"/>
      <c r="AF22" s="99">
        <v>17010</v>
      </c>
      <c r="AG22" s="90">
        <v>1</v>
      </c>
      <c r="AH22" s="46">
        <f t="shared" si="11"/>
        <v>7060</v>
      </c>
      <c r="AI22" s="90">
        <v>1</v>
      </c>
      <c r="AJ22" s="46" t="str">
        <f t="shared" si="12"/>
        <v/>
      </c>
      <c r="AK22" s="89"/>
      <c r="AL22" s="89"/>
      <c r="AM22" s="46">
        <f t="shared" si="13"/>
        <v>-6900</v>
      </c>
      <c r="AN22" s="91">
        <v>1</v>
      </c>
      <c r="AO22" s="46" t="str">
        <f t="shared" si="14"/>
        <v/>
      </c>
      <c r="AP22" s="89"/>
      <c r="AQ22" s="46" t="str">
        <f t="shared" si="4"/>
        <v/>
      </c>
      <c r="AR22" s="89"/>
      <c r="AS22" s="46" t="str">
        <f t="shared" si="5"/>
        <v/>
      </c>
      <c r="AT22" s="89"/>
      <c r="AU22" s="46" t="str">
        <f t="shared" si="6"/>
        <v/>
      </c>
      <c r="AV22" s="89"/>
      <c r="AW22" s="46" t="str">
        <f t="shared" si="7"/>
        <v/>
      </c>
      <c r="AX22" s="89"/>
      <c r="AY22" s="46"/>
      <c r="AZ22" s="143"/>
      <c r="BA22" s="46" t="str">
        <f t="shared" si="8"/>
        <v/>
      </c>
      <c r="BB22" s="143"/>
    </row>
    <row r="23" spans="1:54" s="41" customFormat="1" ht="17.25" customHeight="1">
      <c r="A23" s="40"/>
      <c r="B23" s="162" t="s">
        <v>91</v>
      </c>
      <c r="C23" s="155">
        <v>16</v>
      </c>
      <c r="D23" s="156">
        <v>1</v>
      </c>
      <c r="E23" s="163" t="s">
        <v>275</v>
      </c>
      <c r="F23" s="146">
        <f t="shared" si="0"/>
        <v>-193670</v>
      </c>
      <c r="G23" s="58">
        <f t="shared" si="1"/>
        <v>0</v>
      </c>
      <c r="H23" s="58">
        <f t="shared" si="2"/>
        <v>0</v>
      </c>
      <c r="I23" s="46"/>
      <c r="J23" s="92"/>
      <c r="K23" s="160"/>
      <c r="L23" s="92"/>
      <c r="M23" s="46"/>
      <c r="N23" s="92"/>
      <c r="O23" s="84"/>
      <c r="P23" s="84"/>
      <c r="Q23" s="84"/>
      <c r="R23" s="46"/>
      <c r="S23" s="46">
        <v>-23600</v>
      </c>
      <c r="T23" s="46">
        <f t="shared" si="3"/>
        <v>0</v>
      </c>
      <c r="U23" s="84"/>
      <c r="V23" s="87"/>
      <c r="W23" s="46" t="str">
        <f t="shared" si="9"/>
        <v/>
      </c>
      <c r="X23" s="89"/>
      <c r="Y23" s="89"/>
      <c r="Z23" s="46" t="str">
        <f t="shared" si="10"/>
        <v/>
      </c>
      <c r="AA23" s="89"/>
      <c r="AB23" s="90"/>
      <c r="AC23" s="46">
        <v>-186250</v>
      </c>
      <c r="AD23" s="89">
        <v>1</v>
      </c>
      <c r="AE23" s="90"/>
      <c r="AF23" s="99">
        <v>16020</v>
      </c>
      <c r="AG23" s="90">
        <v>1</v>
      </c>
      <c r="AH23" s="46">
        <f t="shared" si="11"/>
        <v>7060</v>
      </c>
      <c r="AI23" s="90">
        <v>1</v>
      </c>
      <c r="AJ23" s="46" t="str">
        <f t="shared" si="12"/>
        <v/>
      </c>
      <c r="AK23" s="89"/>
      <c r="AL23" s="89"/>
      <c r="AM23" s="46">
        <f t="shared" si="13"/>
        <v>-6900</v>
      </c>
      <c r="AN23" s="91">
        <v>1</v>
      </c>
      <c r="AO23" s="46" t="str">
        <f t="shared" si="14"/>
        <v/>
      </c>
      <c r="AP23" s="89"/>
      <c r="AQ23" s="46" t="str">
        <f t="shared" si="4"/>
        <v/>
      </c>
      <c r="AR23" s="89"/>
      <c r="AS23" s="46" t="str">
        <f t="shared" si="5"/>
        <v/>
      </c>
      <c r="AT23" s="89"/>
      <c r="AU23" s="46" t="str">
        <f t="shared" si="6"/>
        <v/>
      </c>
      <c r="AV23" s="89"/>
      <c r="AW23" s="46" t="str">
        <f t="shared" si="7"/>
        <v/>
      </c>
      <c r="AX23" s="89"/>
      <c r="AY23" s="46"/>
      <c r="AZ23" s="143"/>
      <c r="BA23" s="46" t="str">
        <f t="shared" si="8"/>
        <v/>
      </c>
      <c r="BB23" s="143"/>
    </row>
    <row r="24" spans="1:54" s="41" customFormat="1" ht="17.25" customHeight="1">
      <c r="A24" s="40"/>
      <c r="B24" s="162" t="s">
        <v>109</v>
      </c>
      <c r="C24" s="155">
        <v>17</v>
      </c>
      <c r="D24" s="156">
        <v>1</v>
      </c>
      <c r="E24" s="163" t="s">
        <v>223</v>
      </c>
      <c r="F24" s="146">
        <f t="shared" si="0"/>
        <v>155320</v>
      </c>
      <c r="G24" s="58">
        <f t="shared" si="1"/>
        <v>0</v>
      </c>
      <c r="H24" s="58">
        <f t="shared" si="2"/>
        <v>0</v>
      </c>
      <c r="I24" s="46"/>
      <c r="J24" s="92"/>
      <c r="K24" s="160">
        <v>232500</v>
      </c>
      <c r="L24" s="92" t="s">
        <v>128</v>
      </c>
      <c r="M24" s="46">
        <v>97500</v>
      </c>
      <c r="N24" s="92" t="s">
        <v>3</v>
      </c>
      <c r="O24" s="84"/>
      <c r="P24" s="84"/>
      <c r="Q24" s="84"/>
      <c r="R24" s="46"/>
      <c r="S24" s="46">
        <v>-23600</v>
      </c>
      <c r="T24" s="46">
        <f t="shared" si="3"/>
        <v>0</v>
      </c>
      <c r="U24" s="84"/>
      <c r="V24" s="87"/>
      <c r="W24" s="46" t="str">
        <f t="shared" si="9"/>
        <v/>
      </c>
      <c r="X24" s="89"/>
      <c r="Y24" s="89"/>
      <c r="Z24" s="46">
        <f t="shared" si="10"/>
        <v>15000</v>
      </c>
      <c r="AA24" s="89">
        <v>1</v>
      </c>
      <c r="AB24" s="90" t="s">
        <v>128</v>
      </c>
      <c r="AC24" s="46">
        <v>-186250</v>
      </c>
      <c r="AD24" s="89">
        <v>1</v>
      </c>
      <c r="AE24" s="90"/>
      <c r="AF24" s="99">
        <v>20010</v>
      </c>
      <c r="AG24" s="90">
        <v>1</v>
      </c>
      <c r="AH24" s="46">
        <f t="shared" si="11"/>
        <v>7060</v>
      </c>
      <c r="AI24" s="90">
        <v>1</v>
      </c>
      <c r="AJ24" s="46" t="str">
        <f t="shared" si="12"/>
        <v/>
      </c>
      <c r="AK24" s="89"/>
      <c r="AL24" s="89"/>
      <c r="AM24" s="46">
        <f t="shared" si="13"/>
        <v>-6900</v>
      </c>
      <c r="AN24" s="91">
        <v>1</v>
      </c>
      <c r="AO24" s="46" t="str">
        <f t="shared" si="14"/>
        <v/>
      </c>
      <c r="AP24" s="89"/>
      <c r="AQ24" s="46" t="str">
        <f t="shared" si="4"/>
        <v/>
      </c>
      <c r="AR24" s="89"/>
      <c r="AS24" s="46" t="str">
        <f t="shared" si="5"/>
        <v/>
      </c>
      <c r="AT24" s="89"/>
      <c r="AU24" s="46" t="str">
        <f t="shared" si="6"/>
        <v/>
      </c>
      <c r="AV24" s="89"/>
      <c r="AW24" s="46" t="str">
        <f t="shared" si="7"/>
        <v/>
      </c>
      <c r="AX24" s="89"/>
      <c r="AY24" s="46"/>
      <c r="AZ24" s="143"/>
      <c r="BA24" s="46" t="str">
        <f t="shared" si="8"/>
        <v/>
      </c>
      <c r="BB24" s="143"/>
    </row>
    <row r="25" spans="1:54" s="41" customFormat="1" ht="17.25" customHeight="1">
      <c r="A25" s="40"/>
      <c r="B25" s="162" t="s">
        <v>44</v>
      </c>
      <c r="C25" s="155">
        <v>18</v>
      </c>
      <c r="D25" s="156">
        <v>1</v>
      </c>
      <c r="E25" s="163" t="s">
        <v>274</v>
      </c>
      <c r="F25" s="146">
        <f t="shared" si="0"/>
        <v>-202430</v>
      </c>
      <c r="G25" s="58">
        <f t="shared" si="1"/>
        <v>0</v>
      </c>
      <c r="H25" s="58">
        <f t="shared" si="2"/>
        <v>0</v>
      </c>
      <c r="I25" s="46"/>
      <c r="J25" s="92"/>
      <c r="K25" s="160"/>
      <c r="L25" s="92"/>
      <c r="M25" s="46"/>
      <c r="N25" s="92"/>
      <c r="O25" s="84"/>
      <c r="P25" s="84"/>
      <c r="Q25" s="84"/>
      <c r="R25" s="46"/>
      <c r="S25" s="46">
        <v>-23600</v>
      </c>
      <c r="T25" s="46">
        <f t="shared" si="3"/>
        <v>0</v>
      </c>
      <c r="U25" s="84"/>
      <c r="V25" s="87"/>
      <c r="W25" s="46" t="str">
        <f t="shared" si="9"/>
        <v/>
      </c>
      <c r="X25" s="89"/>
      <c r="Y25" s="89"/>
      <c r="Z25" s="46" t="str">
        <f t="shared" si="10"/>
        <v/>
      </c>
      <c r="AA25" s="89"/>
      <c r="AB25" s="90"/>
      <c r="AC25" s="46">
        <v>-199000</v>
      </c>
      <c r="AD25" s="89">
        <v>1</v>
      </c>
      <c r="AE25" s="90"/>
      <c r="AF25" s="99">
        <v>20010</v>
      </c>
      <c r="AG25" s="90">
        <v>1</v>
      </c>
      <c r="AH25" s="46">
        <f t="shared" si="11"/>
        <v>7060</v>
      </c>
      <c r="AI25" s="90">
        <v>1</v>
      </c>
      <c r="AJ25" s="46" t="str">
        <f t="shared" si="12"/>
        <v/>
      </c>
      <c r="AK25" s="89"/>
      <c r="AL25" s="89"/>
      <c r="AM25" s="46">
        <f t="shared" si="13"/>
        <v>-6900</v>
      </c>
      <c r="AN25" s="91">
        <v>1</v>
      </c>
      <c r="AO25" s="46" t="str">
        <f t="shared" si="14"/>
        <v/>
      </c>
      <c r="AP25" s="89"/>
      <c r="AQ25" s="46" t="str">
        <f t="shared" si="4"/>
        <v/>
      </c>
      <c r="AR25" s="89"/>
      <c r="AS25" s="46" t="str">
        <f t="shared" si="5"/>
        <v/>
      </c>
      <c r="AT25" s="89"/>
      <c r="AU25" s="46" t="str">
        <f t="shared" si="6"/>
        <v/>
      </c>
      <c r="AV25" s="89"/>
      <c r="AW25" s="46" t="str">
        <f t="shared" si="7"/>
        <v/>
      </c>
      <c r="AX25" s="89"/>
      <c r="AY25" s="46"/>
      <c r="AZ25" s="143"/>
      <c r="BA25" s="46" t="str">
        <f t="shared" si="8"/>
        <v/>
      </c>
      <c r="BB25" s="143"/>
    </row>
    <row r="26" spans="1:54" s="41" customFormat="1" ht="17.25" customHeight="1">
      <c r="A26" s="40"/>
      <c r="B26" s="162" t="s">
        <v>102</v>
      </c>
      <c r="C26" s="155">
        <v>19</v>
      </c>
      <c r="D26" s="156">
        <v>1</v>
      </c>
      <c r="E26" s="163" t="s">
        <v>221</v>
      </c>
      <c r="F26" s="146">
        <f t="shared" si="0"/>
        <v>-179820</v>
      </c>
      <c r="G26" s="58">
        <f t="shared" si="1"/>
        <v>0</v>
      </c>
      <c r="H26" s="58">
        <f t="shared" si="2"/>
        <v>0</v>
      </c>
      <c r="I26" s="46"/>
      <c r="J26" s="92"/>
      <c r="K26" s="160"/>
      <c r="L26" s="92"/>
      <c r="M26" s="46"/>
      <c r="N26" s="92"/>
      <c r="O26" s="84"/>
      <c r="P26" s="84"/>
      <c r="Q26" s="84"/>
      <c r="R26" s="46"/>
      <c r="S26" s="46"/>
      <c r="T26" s="46"/>
      <c r="U26" s="84"/>
      <c r="V26" s="87"/>
      <c r="W26" s="46"/>
      <c r="X26" s="89"/>
      <c r="Y26" s="89"/>
      <c r="Z26" s="46" t="str">
        <f t="shared" si="10"/>
        <v/>
      </c>
      <c r="AA26" s="89"/>
      <c r="AB26" s="90"/>
      <c r="AC26" s="46">
        <v>-199000</v>
      </c>
      <c r="AD26" s="89">
        <v>1</v>
      </c>
      <c r="AE26" s="90"/>
      <c r="AF26" s="99">
        <v>19020</v>
      </c>
      <c r="AG26" s="90">
        <v>1</v>
      </c>
      <c r="AH26" s="46">
        <f t="shared" si="11"/>
        <v>7060</v>
      </c>
      <c r="AI26" s="90">
        <v>1</v>
      </c>
      <c r="AJ26" s="46" t="str">
        <f t="shared" si="12"/>
        <v/>
      </c>
      <c r="AK26" s="89"/>
      <c r="AL26" s="89"/>
      <c r="AM26" s="46">
        <f t="shared" si="13"/>
        <v>-6900</v>
      </c>
      <c r="AN26" s="91">
        <v>1</v>
      </c>
      <c r="AO26" s="46" t="str">
        <f t="shared" si="14"/>
        <v/>
      </c>
      <c r="AP26" s="89"/>
      <c r="AQ26" s="46" t="str">
        <f t="shared" si="4"/>
        <v/>
      </c>
      <c r="AR26" s="89"/>
      <c r="AS26" s="46" t="str">
        <f t="shared" si="5"/>
        <v/>
      </c>
      <c r="AT26" s="89"/>
      <c r="AU26" s="46" t="str">
        <f t="shared" si="6"/>
        <v/>
      </c>
      <c r="AV26" s="89"/>
      <c r="AW26" s="46" t="str">
        <f t="shared" si="7"/>
        <v/>
      </c>
      <c r="AX26" s="89"/>
      <c r="AY26" s="46"/>
      <c r="AZ26" s="143"/>
      <c r="BA26" s="46" t="str">
        <f t="shared" si="8"/>
        <v/>
      </c>
      <c r="BB26" s="143"/>
    </row>
    <row r="27" spans="1:54" s="41" customFormat="1" ht="17.25" customHeight="1">
      <c r="A27" s="40"/>
      <c r="B27" s="162" t="s">
        <v>132</v>
      </c>
      <c r="C27" s="155">
        <v>20</v>
      </c>
      <c r="D27" s="156">
        <v>1</v>
      </c>
      <c r="E27" s="163" t="s">
        <v>182</v>
      </c>
      <c r="F27" s="146">
        <f t="shared" si="0"/>
        <v>-169080</v>
      </c>
      <c r="G27" s="58">
        <f t="shared" si="1"/>
        <v>0</v>
      </c>
      <c r="H27" s="58">
        <f t="shared" si="2"/>
        <v>0</v>
      </c>
      <c r="I27" s="46"/>
      <c r="J27" s="92"/>
      <c r="K27" s="160"/>
      <c r="L27" s="92"/>
      <c r="M27" s="46"/>
      <c r="N27" s="92"/>
      <c r="O27" s="84"/>
      <c r="P27" s="84"/>
      <c r="Q27" s="84"/>
      <c r="R27" s="46"/>
      <c r="S27" s="46"/>
      <c r="T27" s="46"/>
      <c r="U27" s="84"/>
      <c r="V27" s="87"/>
      <c r="W27" s="46"/>
      <c r="X27" s="89"/>
      <c r="Y27" s="89"/>
      <c r="Z27" s="46" t="str">
        <f t="shared" si="10"/>
        <v/>
      </c>
      <c r="AA27" s="89"/>
      <c r="AB27" s="90"/>
      <c r="AC27" s="46">
        <v>-186250</v>
      </c>
      <c r="AD27" s="89">
        <v>1</v>
      </c>
      <c r="AE27" s="90"/>
      <c r="AF27" s="99">
        <v>17010</v>
      </c>
      <c r="AG27" s="90">
        <v>1</v>
      </c>
      <c r="AH27" s="46">
        <f t="shared" si="11"/>
        <v>7060</v>
      </c>
      <c r="AI27" s="90">
        <v>1</v>
      </c>
      <c r="AJ27" s="46" t="str">
        <f t="shared" si="12"/>
        <v/>
      </c>
      <c r="AK27" s="89"/>
      <c r="AL27" s="89"/>
      <c r="AM27" s="46">
        <f t="shared" si="13"/>
        <v>-6900</v>
      </c>
      <c r="AN27" s="91">
        <v>1</v>
      </c>
      <c r="AO27" s="46" t="str">
        <f t="shared" si="14"/>
        <v/>
      </c>
      <c r="AP27" s="89"/>
      <c r="AQ27" s="46" t="str">
        <f t="shared" si="4"/>
        <v/>
      </c>
      <c r="AR27" s="89"/>
      <c r="AS27" s="46" t="str">
        <f t="shared" si="5"/>
        <v/>
      </c>
      <c r="AT27" s="89"/>
      <c r="AU27" s="46" t="str">
        <f t="shared" si="6"/>
        <v/>
      </c>
      <c r="AV27" s="89"/>
      <c r="AW27" s="46" t="str">
        <f t="shared" si="7"/>
        <v/>
      </c>
      <c r="AX27" s="89"/>
      <c r="AY27" s="46"/>
      <c r="AZ27" s="143"/>
      <c r="BA27" s="46" t="str">
        <f t="shared" si="8"/>
        <v/>
      </c>
      <c r="BB27" s="143"/>
    </row>
    <row r="28" spans="1:54" s="41" customFormat="1" ht="17.25" customHeight="1">
      <c r="A28" s="40"/>
      <c r="B28" s="162" t="s">
        <v>100</v>
      </c>
      <c r="C28" s="155">
        <v>21</v>
      </c>
      <c r="D28" s="156">
        <v>1</v>
      </c>
      <c r="E28" s="163" t="s">
        <v>250</v>
      </c>
      <c r="F28" s="146">
        <f t="shared" si="0"/>
        <v>-189680</v>
      </c>
      <c r="G28" s="58">
        <f t="shared" si="1"/>
        <v>0</v>
      </c>
      <c r="H28" s="58">
        <f t="shared" si="2"/>
        <v>0</v>
      </c>
      <c r="I28" s="46"/>
      <c r="J28" s="92"/>
      <c r="K28" s="160"/>
      <c r="L28" s="92"/>
      <c r="M28" s="46"/>
      <c r="N28" s="92"/>
      <c r="O28" s="84"/>
      <c r="P28" s="84"/>
      <c r="Q28" s="84"/>
      <c r="R28" s="46"/>
      <c r="S28" s="46">
        <v>-23600</v>
      </c>
      <c r="T28" s="46">
        <f t="shared" si="3"/>
        <v>0</v>
      </c>
      <c r="U28" s="84"/>
      <c r="V28" s="87"/>
      <c r="W28" s="46"/>
      <c r="X28" s="89"/>
      <c r="Y28" s="89"/>
      <c r="Z28" s="46" t="str">
        <f t="shared" si="10"/>
        <v/>
      </c>
      <c r="AA28" s="89"/>
      <c r="AB28" s="90"/>
      <c r="AC28" s="46">
        <v>-186250</v>
      </c>
      <c r="AD28" s="89">
        <v>1</v>
      </c>
      <c r="AE28" s="90"/>
      <c r="AF28" s="99">
        <v>20010</v>
      </c>
      <c r="AG28" s="90">
        <v>1</v>
      </c>
      <c r="AH28" s="46">
        <f t="shared" si="11"/>
        <v>7060</v>
      </c>
      <c r="AI28" s="90">
        <v>1</v>
      </c>
      <c r="AJ28" s="46" t="str">
        <f t="shared" si="12"/>
        <v/>
      </c>
      <c r="AK28" s="89"/>
      <c r="AL28" s="89"/>
      <c r="AM28" s="46">
        <f t="shared" si="13"/>
        <v>-6900</v>
      </c>
      <c r="AN28" s="91">
        <v>1</v>
      </c>
      <c r="AO28" s="46" t="str">
        <f t="shared" si="14"/>
        <v/>
      </c>
      <c r="AP28" s="89"/>
      <c r="AQ28" s="46" t="str">
        <f t="shared" si="4"/>
        <v/>
      </c>
      <c r="AR28" s="89"/>
      <c r="AS28" s="46" t="str">
        <f t="shared" si="5"/>
        <v/>
      </c>
      <c r="AT28" s="89"/>
      <c r="AU28" s="46" t="str">
        <f t="shared" si="6"/>
        <v/>
      </c>
      <c r="AV28" s="89"/>
      <c r="AW28" s="46" t="str">
        <f t="shared" si="7"/>
        <v/>
      </c>
      <c r="AX28" s="89"/>
      <c r="AY28" s="46"/>
      <c r="AZ28" s="143"/>
      <c r="BA28" s="46" t="str">
        <f t="shared" si="8"/>
        <v/>
      </c>
      <c r="BB28" s="143"/>
    </row>
    <row r="29" spans="1:54" s="41" customFormat="1" ht="17.25" customHeight="1">
      <c r="A29" s="40"/>
      <c r="B29" s="162" t="s">
        <v>89</v>
      </c>
      <c r="C29" s="155">
        <v>22</v>
      </c>
      <c r="D29" s="156">
        <v>1</v>
      </c>
      <c r="E29" s="163" t="s">
        <v>259</v>
      </c>
      <c r="F29" s="146">
        <f t="shared" si="0"/>
        <v>-193670</v>
      </c>
      <c r="G29" s="58">
        <f t="shared" si="1"/>
        <v>0</v>
      </c>
      <c r="H29" s="58">
        <f t="shared" si="2"/>
        <v>0</v>
      </c>
      <c r="I29" s="46"/>
      <c r="J29" s="92"/>
      <c r="K29" s="160"/>
      <c r="L29" s="92"/>
      <c r="M29" s="46"/>
      <c r="N29" s="92"/>
      <c r="O29" s="84"/>
      <c r="P29" s="84"/>
      <c r="Q29" s="84"/>
      <c r="R29" s="46"/>
      <c r="S29" s="46">
        <v>-23600</v>
      </c>
      <c r="T29" s="46">
        <f t="shared" si="3"/>
        <v>0</v>
      </c>
      <c r="U29" s="84"/>
      <c r="V29" s="87"/>
      <c r="W29" s="46"/>
      <c r="X29" s="89"/>
      <c r="Y29" s="89"/>
      <c r="Z29" s="46" t="str">
        <f t="shared" si="10"/>
        <v/>
      </c>
      <c r="AA29" s="89"/>
      <c r="AB29" s="90"/>
      <c r="AC29" s="46">
        <v>-186250</v>
      </c>
      <c r="AD29" s="89">
        <v>1</v>
      </c>
      <c r="AE29" s="90"/>
      <c r="AF29" s="99">
        <v>16020</v>
      </c>
      <c r="AG29" s="90">
        <v>1</v>
      </c>
      <c r="AH29" s="46">
        <f t="shared" si="11"/>
        <v>7060</v>
      </c>
      <c r="AI29" s="90">
        <v>1</v>
      </c>
      <c r="AJ29" s="46" t="str">
        <f t="shared" si="12"/>
        <v/>
      </c>
      <c r="AK29" s="89"/>
      <c r="AL29" s="89"/>
      <c r="AM29" s="46">
        <f t="shared" si="13"/>
        <v>-6900</v>
      </c>
      <c r="AN29" s="91">
        <v>1</v>
      </c>
      <c r="AO29" s="46" t="str">
        <f t="shared" si="14"/>
        <v/>
      </c>
      <c r="AP29" s="89"/>
      <c r="AQ29" s="46" t="str">
        <f t="shared" si="4"/>
        <v/>
      </c>
      <c r="AR29" s="89"/>
      <c r="AS29" s="46" t="str">
        <f t="shared" si="5"/>
        <v/>
      </c>
      <c r="AT29" s="89"/>
      <c r="AU29" s="46" t="str">
        <f t="shared" si="6"/>
        <v/>
      </c>
      <c r="AV29" s="89"/>
      <c r="AW29" s="46" t="str">
        <f t="shared" si="7"/>
        <v/>
      </c>
      <c r="AX29" s="89"/>
      <c r="AY29" s="46"/>
      <c r="AZ29" s="143"/>
      <c r="BA29" s="46" t="str">
        <f t="shared" si="8"/>
        <v/>
      </c>
      <c r="BB29" s="143"/>
    </row>
    <row r="30" spans="1:54" s="41" customFormat="1" ht="17.25" customHeight="1">
      <c r="A30" s="40"/>
      <c r="B30" s="162" t="s">
        <v>126</v>
      </c>
      <c r="C30" s="155">
        <v>23</v>
      </c>
      <c r="D30" s="156">
        <v>1</v>
      </c>
      <c r="E30" s="163" t="s">
        <v>172</v>
      </c>
      <c r="F30" s="146">
        <f t="shared" si="0"/>
        <v>-186250</v>
      </c>
      <c r="G30" s="58">
        <f t="shared" si="1"/>
        <v>0</v>
      </c>
      <c r="H30" s="58">
        <f t="shared" si="2"/>
        <v>0</v>
      </c>
      <c r="I30" s="46"/>
      <c r="J30" s="92"/>
      <c r="K30" s="160"/>
      <c r="L30" s="92"/>
      <c r="M30" s="46"/>
      <c r="N30" s="92"/>
      <c r="O30" s="84"/>
      <c r="P30" s="84"/>
      <c r="Q30" s="84"/>
      <c r="R30" s="46"/>
      <c r="S30" s="46">
        <v>-23600</v>
      </c>
      <c r="T30" s="46">
        <f t="shared" si="3"/>
        <v>0</v>
      </c>
      <c r="U30" s="84"/>
      <c r="V30" s="87"/>
      <c r="W30" s="46"/>
      <c r="X30" s="89"/>
      <c r="Y30" s="89"/>
      <c r="Z30" s="46" t="str">
        <f t="shared" si="10"/>
        <v/>
      </c>
      <c r="AA30" s="89"/>
      <c r="AB30" s="90"/>
      <c r="AC30" s="46">
        <v>-186250</v>
      </c>
      <c r="AD30" s="89">
        <v>1</v>
      </c>
      <c r="AE30" s="90"/>
      <c r="AF30" s="99">
        <v>23440</v>
      </c>
      <c r="AG30" s="90">
        <v>1</v>
      </c>
      <c r="AH30" s="46">
        <f t="shared" si="11"/>
        <v>7060</v>
      </c>
      <c r="AI30" s="90">
        <v>1</v>
      </c>
      <c r="AJ30" s="46" t="str">
        <f t="shared" si="12"/>
        <v/>
      </c>
      <c r="AK30" s="89"/>
      <c r="AL30" s="89"/>
      <c r="AM30" s="46">
        <f t="shared" si="13"/>
        <v>-6900</v>
      </c>
      <c r="AN30" s="91">
        <v>1</v>
      </c>
      <c r="AO30" s="46" t="str">
        <f t="shared" si="14"/>
        <v/>
      </c>
      <c r="AP30" s="89"/>
      <c r="AQ30" s="46" t="str">
        <f t="shared" si="4"/>
        <v/>
      </c>
      <c r="AR30" s="89"/>
      <c r="AS30" s="46" t="str">
        <f t="shared" si="5"/>
        <v/>
      </c>
      <c r="AT30" s="89"/>
      <c r="AU30" s="46" t="str">
        <f t="shared" si="6"/>
        <v/>
      </c>
      <c r="AV30" s="89"/>
      <c r="AW30" s="46" t="str">
        <f t="shared" si="7"/>
        <v/>
      </c>
      <c r="AX30" s="89"/>
      <c r="AY30" s="46"/>
      <c r="AZ30" s="143"/>
      <c r="BA30" s="46" t="str">
        <f t="shared" si="8"/>
        <v/>
      </c>
      <c r="BB30" s="143"/>
    </row>
    <row r="31" spans="1:54" s="41" customFormat="1" ht="17.25" customHeight="1">
      <c r="A31" s="40"/>
      <c r="B31" s="162" t="s">
        <v>13</v>
      </c>
      <c r="C31" s="155">
        <v>24</v>
      </c>
      <c r="D31" s="156">
        <v>1</v>
      </c>
      <c r="E31" s="163" t="s">
        <v>249</v>
      </c>
      <c r="F31" s="146">
        <f t="shared" si="0"/>
        <v>-190670</v>
      </c>
      <c r="G31" s="58">
        <f t="shared" si="1"/>
        <v>0</v>
      </c>
      <c r="H31" s="58">
        <f t="shared" si="2"/>
        <v>0</v>
      </c>
      <c r="I31" s="46"/>
      <c r="J31" s="92"/>
      <c r="K31" s="160"/>
      <c r="L31" s="92"/>
      <c r="M31" s="46"/>
      <c r="N31" s="92"/>
      <c r="O31" s="84"/>
      <c r="P31" s="84"/>
      <c r="Q31" s="84"/>
      <c r="R31" s="46"/>
      <c r="S31" s="46">
        <v>-23600</v>
      </c>
      <c r="T31" s="46">
        <f t="shared" si="3"/>
        <v>0</v>
      </c>
      <c r="U31" s="84"/>
      <c r="V31" s="87"/>
      <c r="W31" s="46" t="str">
        <f t="shared" si="9"/>
        <v/>
      </c>
      <c r="X31" s="89"/>
      <c r="Y31" s="89"/>
      <c r="Z31" s="46" t="str">
        <f t="shared" si="10"/>
        <v/>
      </c>
      <c r="AA31" s="89"/>
      <c r="AB31" s="90"/>
      <c r="AC31" s="46">
        <v>-186250</v>
      </c>
      <c r="AD31" s="89">
        <v>1</v>
      </c>
      <c r="AE31" s="90"/>
      <c r="AF31" s="99">
        <v>19020</v>
      </c>
      <c r="AG31" s="90">
        <v>1</v>
      </c>
      <c r="AH31" s="46">
        <f t="shared" si="11"/>
        <v>7060</v>
      </c>
      <c r="AI31" s="90">
        <v>1</v>
      </c>
      <c r="AJ31" s="46" t="str">
        <f t="shared" si="12"/>
        <v/>
      </c>
      <c r="AK31" s="89"/>
      <c r="AL31" s="89"/>
      <c r="AM31" s="46">
        <f t="shared" si="13"/>
        <v>-6900</v>
      </c>
      <c r="AN31" s="91">
        <v>1</v>
      </c>
      <c r="AO31" s="46" t="str">
        <f t="shared" si="14"/>
        <v/>
      </c>
      <c r="AP31" s="89"/>
      <c r="AQ31" s="46" t="str">
        <f t="shared" si="4"/>
        <v/>
      </c>
      <c r="AR31" s="89"/>
      <c r="AS31" s="46" t="str">
        <f t="shared" si="5"/>
        <v/>
      </c>
      <c r="AT31" s="89"/>
      <c r="AU31" s="46" t="str">
        <f t="shared" si="6"/>
        <v/>
      </c>
      <c r="AV31" s="89"/>
      <c r="AW31" s="46" t="str">
        <f t="shared" si="7"/>
        <v/>
      </c>
      <c r="AX31" s="89"/>
      <c r="AY31" s="46"/>
      <c r="AZ31" s="143"/>
      <c r="BA31" s="46" t="str">
        <f t="shared" si="8"/>
        <v/>
      </c>
      <c r="BB31" s="143"/>
    </row>
    <row r="32" spans="1:54" s="41" customFormat="1" ht="17.25" customHeight="1">
      <c r="A32" s="40"/>
      <c r="B32" s="162" t="s">
        <v>63</v>
      </c>
      <c r="C32" s="155">
        <v>25</v>
      </c>
      <c r="D32" s="156">
        <v>1</v>
      </c>
      <c r="E32" s="163" t="s">
        <v>261</v>
      </c>
      <c r="F32" s="146">
        <f t="shared" si="0"/>
        <v>-190670</v>
      </c>
      <c r="G32" s="58">
        <f t="shared" si="1"/>
        <v>0</v>
      </c>
      <c r="H32" s="58">
        <f t="shared" si="2"/>
        <v>0</v>
      </c>
      <c r="I32" s="46"/>
      <c r="J32" s="92"/>
      <c r="K32" s="160"/>
      <c r="L32" s="92"/>
      <c r="M32" s="46"/>
      <c r="N32" s="92"/>
      <c r="O32" s="84"/>
      <c r="P32" s="84"/>
      <c r="Q32" s="84"/>
      <c r="R32" s="46"/>
      <c r="S32" s="46">
        <v>-23600</v>
      </c>
      <c r="T32" s="46">
        <f t="shared" si="3"/>
        <v>0</v>
      </c>
      <c r="U32" s="84"/>
      <c r="V32" s="87"/>
      <c r="W32" s="46" t="str">
        <f t="shared" si="9"/>
        <v/>
      </c>
      <c r="X32" s="89"/>
      <c r="Y32" s="89"/>
      <c r="Z32" s="46" t="str">
        <f t="shared" si="10"/>
        <v/>
      </c>
      <c r="AA32" s="89"/>
      <c r="AB32" s="90"/>
      <c r="AC32" s="46">
        <v>-186250</v>
      </c>
      <c r="AD32" s="89">
        <v>1</v>
      </c>
      <c r="AE32" s="90"/>
      <c r="AF32" s="99">
        <v>19020</v>
      </c>
      <c r="AG32" s="90">
        <v>1</v>
      </c>
      <c r="AH32" s="46">
        <f t="shared" si="11"/>
        <v>7060</v>
      </c>
      <c r="AI32" s="90">
        <v>1</v>
      </c>
      <c r="AJ32" s="46" t="str">
        <f t="shared" si="12"/>
        <v/>
      </c>
      <c r="AK32" s="89"/>
      <c r="AL32" s="89"/>
      <c r="AM32" s="46">
        <f t="shared" si="13"/>
        <v>-6900</v>
      </c>
      <c r="AN32" s="91">
        <v>1</v>
      </c>
      <c r="AO32" s="46" t="str">
        <f t="shared" si="14"/>
        <v/>
      </c>
      <c r="AP32" s="89"/>
      <c r="AQ32" s="46" t="str">
        <f t="shared" si="4"/>
        <v/>
      </c>
      <c r="AR32" s="89"/>
      <c r="AS32" s="46" t="str">
        <f t="shared" si="5"/>
        <v/>
      </c>
      <c r="AT32" s="89"/>
      <c r="AU32" s="46" t="str">
        <f t="shared" si="6"/>
        <v/>
      </c>
      <c r="AV32" s="89"/>
      <c r="AW32" s="46" t="str">
        <f t="shared" si="7"/>
        <v/>
      </c>
      <c r="AX32" s="89"/>
      <c r="AY32" s="46"/>
      <c r="AZ32" s="143"/>
      <c r="BA32" s="46" t="str">
        <f t="shared" si="8"/>
        <v/>
      </c>
      <c r="BB32" s="143"/>
    </row>
    <row r="33" spans="1:54" s="41" customFormat="1" ht="17.25" customHeight="1">
      <c r="A33" s="40"/>
      <c r="B33" s="162" t="s">
        <v>83</v>
      </c>
      <c r="C33" s="155">
        <v>26</v>
      </c>
      <c r="D33" s="156">
        <v>1</v>
      </c>
      <c r="E33" s="163" t="s">
        <v>207</v>
      </c>
      <c r="F33" s="146">
        <f t="shared" si="0"/>
        <v>-203420</v>
      </c>
      <c r="G33" s="58">
        <f t="shared" si="1"/>
        <v>0</v>
      </c>
      <c r="H33" s="58">
        <f t="shared" si="2"/>
        <v>0</v>
      </c>
      <c r="I33" s="46"/>
      <c r="J33" s="92"/>
      <c r="K33" s="160"/>
      <c r="L33" s="92"/>
      <c r="M33" s="46"/>
      <c r="N33" s="92"/>
      <c r="O33" s="84"/>
      <c r="P33" s="84"/>
      <c r="Q33" s="84"/>
      <c r="R33" s="46"/>
      <c r="S33" s="46">
        <v>-23600</v>
      </c>
      <c r="T33" s="46">
        <f t="shared" si="3"/>
        <v>0</v>
      </c>
      <c r="U33" s="84"/>
      <c r="V33" s="87"/>
      <c r="W33" s="46" t="str">
        <f t="shared" si="9"/>
        <v/>
      </c>
      <c r="X33" s="89"/>
      <c r="Y33" s="89"/>
      <c r="Z33" s="46" t="str">
        <f t="shared" si="10"/>
        <v/>
      </c>
      <c r="AA33" s="89"/>
      <c r="AB33" s="90"/>
      <c r="AC33" s="46">
        <v>-199000</v>
      </c>
      <c r="AD33" s="89">
        <v>1</v>
      </c>
      <c r="AE33" s="90"/>
      <c r="AF33" s="99">
        <v>19020</v>
      </c>
      <c r="AG33" s="90">
        <v>1</v>
      </c>
      <c r="AH33" s="46">
        <f t="shared" si="11"/>
        <v>7060</v>
      </c>
      <c r="AI33" s="90">
        <v>1</v>
      </c>
      <c r="AJ33" s="46" t="str">
        <f t="shared" si="12"/>
        <v/>
      </c>
      <c r="AK33" s="89"/>
      <c r="AL33" s="89"/>
      <c r="AM33" s="46">
        <f t="shared" si="13"/>
        <v>-6900</v>
      </c>
      <c r="AN33" s="91">
        <v>1</v>
      </c>
      <c r="AO33" s="46" t="str">
        <f t="shared" si="14"/>
        <v/>
      </c>
      <c r="AP33" s="89"/>
      <c r="AQ33" s="46" t="str">
        <f t="shared" si="4"/>
        <v/>
      </c>
      <c r="AR33" s="89"/>
      <c r="AS33" s="46" t="str">
        <f t="shared" si="5"/>
        <v/>
      </c>
      <c r="AT33" s="89"/>
      <c r="AU33" s="46" t="str">
        <f t="shared" si="6"/>
        <v/>
      </c>
      <c r="AV33" s="89"/>
      <c r="AW33" s="46" t="str">
        <f t="shared" si="7"/>
        <v/>
      </c>
      <c r="AX33" s="89"/>
      <c r="AY33" s="46"/>
      <c r="AZ33" s="143"/>
      <c r="BA33" s="46" t="str">
        <f t="shared" si="8"/>
        <v/>
      </c>
      <c r="BB33" s="143"/>
    </row>
    <row r="34" spans="1:54" s="41" customFormat="1" ht="17.25" customHeight="1">
      <c r="A34" s="40"/>
      <c r="B34" s="162" t="s">
        <v>123</v>
      </c>
      <c r="C34" s="155">
        <v>27</v>
      </c>
      <c r="D34" s="156">
        <v>1</v>
      </c>
      <c r="E34" s="163" t="s">
        <v>174</v>
      </c>
      <c r="F34" s="146">
        <f t="shared" si="0"/>
        <v>-206420</v>
      </c>
      <c r="G34" s="58">
        <f t="shared" si="1"/>
        <v>0</v>
      </c>
      <c r="H34" s="58">
        <f t="shared" si="2"/>
        <v>0</v>
      </c>
      <c r="I34" s="46"/>
      <c r="J34" s="92"/>
      <c r="K34" s="160"/>
      <c r="L34" s="92"/>
      <c r="M34" s="46"/>
      <c r="N34" s="92"/>
      <c r="O34" s="84"/>
      <c r="P34" s="84"/>
      <c r="Q34" s="84"/>
      <c r="R34" s="46"/>
      <c r="S34" s="46">
        <v>-23600</v>
      </c>
      <c r="T34" s="46">
        <f t="shared" si="3"/>
        <v>0</v>
      </c>
      <c r="U34" s="84"/>
      <c r="V34" s="87"/>
      <c r="W34" s="46" t="str">
        <f t="shared" si="9"/>
        <v/>
      </c>
      <c r="X34" s="89"/>
      <c r="Y34" s="89"/>
      <c r="Z34" s="46" t="str">
        <f t="shared" si="10"/>
        <v/>
      </c>
      <c r="AA34" s="89"/>
      <c r="AB34" s="90"/>
      <c r="AC34" s="46">
        <v>-199000</v>
      </c>
      <c r="AD34" s="89">
        <v>1</v>
      </c>
      <c r="AE34" s="90"/>
      <c r="AF34" s="99">
        <v>16020</v>
      </c>
      <c r="AG34" s="90">
        <v>1</v>
      </c>
      <c r="AH34" s="46">
        <f t="shared" si="11"/>
        <v>7060</v>
      </c>
      <c r="AI34" s="90">
        <v>1</v>
      </c>
      <c r="AJ34" s="46" t="str">
        <f t="shared" si="12"/>
        <v/>
      </c>
      <c r="AK34" s="89"/>
      <c r="AL34" s="89"/>
      <c r="AM34" s="46">
        <f t="shared" si="13"/>
        <v>-6900</v>
      </c>
      <c r="AN34" s="91">
        <v>1</v>
      </c>
      <c r="AO34" s="46" t="str">
        <f t="shared" si="14"/>
        <v/>
      </c>
      <c r="AP34" s="89"/>
      <c r="AQ34" s="46" t="str">
        <f t="shared" si="4"/>
        <v/>
      </c>
      <c r="AR34" s="89"/>
      <c r="AS34" s="46" t="str">
        <f t="shared" si="5"/>
        <v/>
      </c>
      <c r="AT34" s="89"/>
      <c r="AU34" s="46" t="str">
        <f t="shared" si="6"/>
        <v/>
      </c>
      <c r="AV34" s="89"/>
      <c r="AW34" s="46" t="str">
        <f t="shared" si="7"/>
        <v/>
      </c>
      <c r="AX34" s="89"/>
      <c r="AY34" s="46"/>
      <c r="AZ34" s="143"/>
      <c r="BA34" s="46" t="str">
        <f t="shared" si="8"/>
        <v/>
      </c>
      <c r="BB34" s="143"/>
    </row>
    <row r="35" spans="1:54" s="41" customFormat="1" ht="17.25" customHeight="1">
      <c r="A35" s="40"/>
      <c r="B35" s="162" t="s">
        <v>106</v>
      </c>
      <c r="C35" s="155">
        <v>28</v>
      </c>
      <c r="D35" s="156">
        <v>1</v>
      </c>
      <c r="E35" s="163" t="s">
        <v>177</v>
      </c>
      <c r="F35" s="146">
        <f t="shared" si="0"/>
        <v>-193670</v>
      </c>
      <c r="G35" s="58">
        <f t="shared" si="1"/>
        <v>0</v>
      </c>
      <c r="H35" s="58">
        <f t="shared" si="2"/>
        <v>0</v>
      </c>
      <c r="I35" s="46"/>
      <c r="J35" s="92"/>
      <c r="K35" s="160"/>
      <c r="L35" s="92"/>
      <c r="M35" s="46"/>
      <c r="N35" s="92"/>
      <c r="O35" s="84"/>
      <c r="P35" s="84"/>
      <c r="Q35" s="84"/>
      <c r="R35" s="46"/>
      <c r="S35" s="46">
        <v>-23600</v>
      </c>
      <c r="T35" s="46">
        <f t="shared" si="3"/>
        <v>0</v>
      </c>
      <c r="U35" s="84"/>
      <c r="V35" s="87"/>
      <c r="W35" s="46" t="str">
        <f t="shared" si="9"/>
        <v/>
      </c>
      <c r="X35" s="89"/>
      <c r="Y35" s="89"/>
      <c r="Z35" s="46" t="str">
        <f t="shared" si="10"/>
        <v/>
      </c>
      <c r="AA35" s="89"/>
      <c r="AB35" s="90"/>
      <c r="AC35" s="46">
        <v>-186250</v>
      </c>
      <c r="AD35" s="89">
        <v>1</v>
      </c>
      <c r="AE35" s="90"/>
      <c r="AF35" s="99">
        <v>16020</v>
      </c>
      <c r="AG35" s="90">
        <v>1</v>
      </c>
      <c r="AH35" s="46">
        <f t="shared" si="11"/>
        <v>7060</v>
      </c>
      <c r="AI35" s="90">
        <v>1</v>
      </c>
      <c r="AJ35" s="46" t="str">
        <f t="shared" si="12"/>
        <v/>
      </c>
      <c r="AK35" s="89"/>
      <c r="AL35" s="89"/>
      <c r="AM35" s="46">
        <f t="shared" si="13"/>
        <v>-6900</v>
      </c>
      <c r="AN35" s="91">
        <v>1</v>
      </c>
      <c r="AO35" s="46" t="str">
        <f t="shared" si="14"/>
        <v/>
      </c>
      <c r="AP35" s="89"/>
      <c r="AQ35" s="46" t="str">
        <f t="shared" si="4"/>
        <v/>
      </c>
      <c r="AR35" s="89"/>
      <c r="AS35" s="46" t="str">
        <f t="shared" si="5"/>
        <v/>
      </c>
      <c r="AT35" s="89"/>
      <c r="AU35" s="46" t="str">
        <f t="shared" si="6"/>
        <v/>
      </c>
      <c r="AV35" s="89"/>
      <c r="AW35" s="46" t="str">
        <f t="shared" si="7"/>
        <v/>
      </c>
      <c r="AX35" s="89"/>
      <c r="AY35" s="46"/>
      <c r="AZ35" s="143"/>
      <c r="BA35" s="46" t="str">
        <f t="shared" si="8"/>
        <v/>
      </c>
      <c r="BB35" s="143"/>
    </row>
    <row r="36" spans="1:54" s="41" customFormat="1" ht="17.25" customHeight="1">
      <c r="A36" s="40"/>
      <c r="B36" s="162" t="s">
        <v>94</v>
      </c>
      <c r="C36" s="155">
        <v>29</v>
      </c>
      <c r="D36" s="156">
        <v>1</v>
      </c>
      <c r="E36" s="163" t="s">
        <v>272</v>
      </c>
      <c r="F36" s="146">
        <f t="shared" si="0"/>
        <v>-189680</v>
      </c>
      <c r="G36" s="58">
        <f t="shared" si="1"/>
        <v>0</v>
      </c>
      <c r="H36" s="58">
        <f t="shared" si="2"/>
        <v>0</v>
      </c>
      <c r="I36" s="46"/>
      <c r="J36" s="92"/>
      <c r="K36" s="160"/>
      <c r="L36" s="92"/>
      <c r="M36" s="46"/>
      <c r="N36" s="92"/>
      <c r="O36" s="84"/>
      <c r="P36" s="84"/>
      <c r="Q36" s="84"/>
      <c r="R36" s="46"/>
      <c r="S36" s="46">
        <v>-23600</v>
      </c>
      <c r="T36" s="46">
        <f t="shared" si="3"/>
        <v>0</v>
      </c>
      <c r="U36" s="84"/>
      <c r="V36" s="87"/>
      <c r="W36" s="46" t="str">
        <f t="shared" si="9"/>
        <v/>
      </c>
      <c r="X36" s="89"/>
      <c r="Y36" s="89"/>
      <c r="Z36" s="46" t="str">
        <f t="shared" si="10"/>
        <v/>
      </c>
      <c r="AA36" s="89"/>
      <c r="AB36" s="90"/>
      <c r="AC36" s="46">
        <v>-186250</v>
      </c>
      <c r="AD36" s="89">
        <v>1</v>
      </c>
      <c r="AE36" s="90"/>
      <c r="AF36" s="99">
        <v>20010</v>
      </c>
      <c r="AG36" s="90">
        <v>1</v>
      </c>
      <c r="AH36" s="46">
        <f t="shared" si="11"/>
        <v>7060</v>
      </c>
      <c r="AI36" s="90">
        <v>1</v>
      </c>
      <c r="AJ36" s="46" t="str">
        <f t="shared" si="12"/>
        <v/>
      </c>
      <c r="AK36" s="89"/>
      <c r="AL36" s="89"/>
      <c r="AM36" s="46">
        <f t="shared" si="13"/>
        <v>-6900</v>
      </c>
      <c r="AN36" s="91">
        <v>1</v>
      </c>
      <c r="AO36" s="46" t="str">
        <f t="shared" si="14"/>
        <v/>
      </c>
      <c r="AP36" s="89"/>
      <c r="AQ36" s="46" t="str">
        <f t="shared" si="4"/>
        <v/>
      </c>
      <c r="AR36" s="89"/>
      <c r="AS36" s="46" t="str">
        <f t="shared" si="5"/>
        <v/>
      </c>
      <c r="AT36" s="89"/>
      <c r="AU36" s="46" t="str">
        <f t="shared" si="6"/>
        <v/>
      </c>
      <c r="AV36" s="89"/>
      <c r="AW36" s="46" t="str">
        <f t="shared" si="7"/>
        <v/>
      </c>
      <c r="AX36" s="89"/>
      <c r="AY36" s="46"/>
      <c r="AZ36" s="143"/>
      <c r="BA36" s="46" t="str">
        <f t="shared" si="8"/>
        <v/>
      </c>
      <c r="BB36" s="143"/>
    </row>
    <row r="37" spans="1:54" s="41" customFormat="1" ht="17.25" customHeight="1">
      <c r="A37" s="40"/>
      <c r="B37" s="162" t="s">
        <v>0</v>
      </c>
      <c r="C37" s="155">
        <v>30</v>
      </c>
      <c r="D37" s="156">
        <v>1</v>
      </c>
      <c r="E37" s="163" t="s">
        <v>281</v>
      </c>
      <c r="F37" s="146">
        <f t="shared" si="0"/>
        <v>2029330</v>
      </c>
      <c r="G37" s="58">
        <f t="shared" si="1"/>
        <v>0</v>
      </c>
      <c r="H37" s="58">
        <f t="shared" si="2"/>
        <v>0</v>
      </c>
      <c r="I37" s="46">
        <f>1110000+1110000</f>
        <v>2220000</v>
      </c>
      <c r="J37" s="92" t="s">
        <v>122</v>
      </c>
      <c r="K37" s="160"/>
      <c r="L37" s="92"/>
      <c r="M37" s="46"/>
      <c r="N37" s="92"/>
      <c r="O37" s="84"/>
      <c r="P37" s="84"/>
      <c r="Q37" s="84"/>
      <c r="R37" s="46"/>
      <c r="S37" s="46">
        <v>-23600</v>
      </c>
      <c r="T37" s="46">
        <f t="shared" si="3"/>
        <v>0</v>
      </c>
      <c r="U37" s="84"/>
      <c r="V37" s="87"/>
      <c r="W37" s="46" t="str">
        <f t="shared" si="9"/>
        <v/>
      </c>
      <c r="X37" s="89"/>
      <c r="Y37" s="89"/>
      <c r="Z37" s="46" t="str">
        <f t="shared" si="10"/>
        <v/>
      </c>
      <c r="AA37" s="89"/>
      <c r="AB37" s="90"/>
      <c r="AC37" s="46">
        <v>-186250</v>
      </c>
      <c r="AD37" s="89">
        <v>1</v>
      </c>
      <c r="AE37" s="90"/>
      <c r="AF37" s="99">
        <v>19020</v>
      </c>
      <c r="AG37" s="90">
        <v>1</v>
      </c>
      <c r="AH37" s="46">
        <f t="shared" si="11"/>
        <v>7060</v>
      </c>
      <c r="AI37" s="90">
        <v>1</v>
      </c>
      <c r="AJ37" s="46" t="str">
        <f t="shared" si="12"/>
        <v/>
      </c>
      <c r="AK37" s="89"/>
      <c r="AL37" s="89"/>
      <c r="AM37" s="46">
        <f t="shared" si="13"/>
        <v>-6900</v>
      </c>
      <c r="AN37" s="91">
        <v>1</v>
      </c>
      <c r="AO37" s="46" t="str">
        <f t="shared" si="14"/>
        <v/>
      </c>
      <c r="AP37" s="89"/>
      <c r="AQ37" s="46" t="str">
        <f t="shared" si="4"/>
        <v/>
      </c>
      <c r="AR37" s="89"/>
      <c r="AS37" s="46" t="str">
        <f t="shared" si="5"/>
        <v/>
      </c>
      <c r="AT37" s="89"/>
      <c r="AU37" s="46" t="str">
        <f t="shared" si="6"/>
        <v/>
      </c>
      <c r="AV37" s="89"/>
      <c r="AW37" s="46" t="str">
        <f t="shared" si="7"/>
        <v/>
      </c>
      <c r="AX37" s="89"/>
      <c r="AY37" s="46"/>
      <c r="AZ37" s="143"/>
      <c r="BA37" s="46" t="str">
        <f t="shared" si="8"/>
        <v/>
      </c>
      <c r="BB37" s="143"/>
    </row>
    <row r="38" spans="1:54" s="41" customFormat="1" ht="17.25" customHeight="1">
      <c r="A38" s="40"/>
      <c r="B38" s="162" t="s">
        <v>6</v>
      </c>
      <c r="C38" s="155">
        <v>31</v>
      </c>
      <c r="D38" s="156">
        <v>1</v>
      </c>
      <c r="E38" s="163" t="s">
        <v>171</v>
      </c>
      <c r="F38" s="146">
        <f t="shared" si="0"/>
        <v>-203420</v>
      </c>
      <c r="G38" s="58">
        <f t="shared" si="1"/>
        <v>0</v>
      </c>
      <c r="H38" s="58">
        <f t="shared" si="2"/>
        <v>0</v>
      </c>
      <c r="I38" s="46"/>
      <c r="J38" s="92"/>
      <c r="K38" s="160"/>
      <c r="L38" s="92"/>
      <c r="M38" s="46"/>
      <c r="N38" s="92"/>
      <c r="O38" s="84"/>
      <c r="P38" s="84"/>
      <c r="Q38" s="84"/>
      <c r="R38" s="46"/>
      <c r="S38" s="46">
        <v>-23600</v>
      </c>
      <c r="T38" s="46">
        <f t="shared" si="3"/>
        <v>0</v>
      </c>
      <c r="U38" s="84"/>
      <c r="V38" s="87"/>
      <c r="W38" s="46" t="str">
        <f t="shared" si="9"/>
        <v/>
      </c>
      <c r="X38" s="89"/>
      <c r="Y38" s="89"/>
      <c r="Z38" s="46" t="str">
        <f t="shared" si="10"/>
        <v/>
      </c>
      <c r="AA38" s="89"/>
      <c r="AB38" s="90"/>
      <c r="AC38" s="46">
        <v>-199000</v>
      </c>
      <c r="AD38" s="89">
        <v>1</v>
      </c>
      <c r="AE38" s="90"/>
      <c r="AF38" s="99">
        <v>19020</v>
      </c>
      <c r="AG38" s="90">
        <v>1</v>
      </c>
      <c r="AH38" s="46">
        <f t="shared" si="11"/>
        <v>7060</v>
      </c>
      <c r="AI38" s="90">
        <v>1</v>
      </c>
      <c r="AJ38" s="46" t="str">
        <f t="shared" si="12"/>
        <v/>
      </c>
      <c r="AK38" s="89"/>
      <c r="AL38" s="89"/>
      <c r="AM38" s="46">
        <f t="shared" si="13"/>
        <v>-6900</v>
      </c>
      <c r="AN38" s="91">
        <v>1</v>
      </c>
      <c r="AO38" s="46" t="str">
        <f t="shared" si="14"/>
        <v/>
      </c>
      <c r="AP38" s="89"/>
      <c r="AQ38" s="46" t="str">
        <f t="shared" si="4"/>
        <v/>
      </c>
      <c r="AR38" s="89"/>
      <c r="AS38" s="46" t="str">
        <f t="shared" si="5"/>
        <v/>
      </c>
      <c r="AT38" s="89"/>
      <c r="AU38" s="46" t="str">
        <f t="shared" si="6"/>
        <v/>
      </c>
      <c r="AV38" s="89"/>
      <c r="AW38" s="46" t="str">
        <f t="shared" si="7"/>
        <v/>
      </c>
      <c r="AX38" s="89"/>
      <c r="AY38" s="46"/>
      <c r="AZ38" s="143"/>
      <c r="BA38" s="46" t="str">
        <f t="shared" si="8"/>
        <v/>
      </c>
      <c r="BB38" s="143"/>
    </row>
    <row r="39" spans="1:54" s="41" customFormat="1" ht="17.25" customHeight="1">
      <c r="A39" s="40"/>
      <c r="B39" s="162" t="s">
        <v>59</v>
      </c>
      <c r="C39" s="155">
        <v>32</v>
      </c>
      <c r="D39" s="156">
        <v>1</v>
      </c>
      <c r="E39" s="163" t="s">
        <v>185</v>
      </c>
      <c r="F39" s="146">
        <f t="shared" si="0"/>
        <v>-193670</v>
      </c>
      <c r="G39" s="58">
        <f t="shared" si="1"/>
        <v>0</v>
      </c>
      <c r="H39" s="58">
        <f t="shared" si="2"/>
        <v>0</v>
      </c>
      <c r="I39" s="46"/>
      <c r="J39" s="92"/>
      <c r="K39" s="160"/>
      <c r="L39" s="92"/>
      <c r="M39" s="46"/>
      <c r="N39" s="92"/>
      <c r="O39" s="84"/>
      <c r="P39" s="84"/>
      <c r="Q39" s="84"/>
      <c r="R39" s="46"/>
      <c r="S39" s="46">
        <v>-23600</v>
      </c>
      <c r="T39" s="46">
        <f t="shared" si="3"/>
        <v>0</v>
      </c>
      <c r="U39" s="84"/>
      <c r="V39" s="87"/>
      <c r="W39" s="46" t="str">
        <f t="shared" si="9"/>
        <v/>
      </c>
      <c r="X39" s="89"/>
      <c r="Y39" s="89"/>
      <c r="Z39" s="46" t="str">
        <f t="shared" si="10"/>
        <v/>
      </c>
      <c r="AA39" s="89"/>
      <c r="AB39" s="90"/>
      <c r="AC39" s="46">
        <v>-186250</v>
      </c>
      <c r="AD39" s="89">
        <v>1</v>
      </c>
      <c r="AE39" s="90"/>
      <c r="AF39" s="99">
        <v>16020</v>
      </c>
      <c r="AG39" s="90">
        <v>1</v>
      </c>
      <c r="AH39" s="46">
        <f t="shared" si="11"/>
        <v>7060</v>
      </c>
      <c r="AI39" s="90">
        <v>1</v>
      </c>
      <c r="AJ39" s="46" t="str">
        <f t="shared" si="12"/>
        <v/>
      </c>
      <c r="AK39" s="89"/>
      <c r="AL39" s="89"/>
      <c r="AM39" s="46">
        <f t="shared" si="13"/>
        <v>-6900</v>
      </c>
      <c r="AN39" s="91">
        <v>1</v>
      </c>
      <c r="AO39" s="46" t="str">
        <f t="shared" si="14"/>
        <v/>
      </c>
      <c r="AP39" s="89"/>
      <c r="AQ39" s="46" t="str">
        <f t="shared" si="4"/>
        <v/>
      </c>
      <c r="AR39" s="89"/>
      <c r="AS39" s="46" t="str">
        <f t="shared" si="5"/>
        <v/>
      </c>
      <c r="AT39" s="89"/>
      <c r="AU39" s="46" t="str">
        <f t="shared" si="6"/>
        <v/>
      </c>
      <c r="AV39" s="89"/>
      <c r="AW39" s="46" t="str">
        <f t="shared" si="7"/>
        <v/>
      </c>
      <c r="AX39" s="89"/>
      <c r="AY39" s="46"/>
      <c r="AZ39" s="143"/>
      <c r="BA39" s="46" t="str">
        <f t="shared" si="8"/>
        <v/>
      </c>
      <c r="BB39" s="143"/>
    </row>
    <row r="40" spans="1:54" s="41" customFormat="1" ht="17.25" customHeight="1">
      <c r="A40" s="40"/>
      <c r="B40" s="162" t="s">
        <v>51</v>
      </c>
      <c r="C40" s="155">
        <v>33</v>
      </c>
      <c r="D40" s="156">
        <v>1</v>
      </c>
      <c r="E40" s="163" t="s">
        <v>203</v>
      </c>
      <c r="F40" s="146">
        <f t="shared" si="0"/>
        <v>-190670</v>
      </c>
      <c r="G40" s="58">
        <f t="shared" si="1"/>
        <v>0</v>
      </c>
      <c r="H40" s="58">
        <f t="shared" si="2"/>
        <v>0</v>
      </c>
      <c r="I40" s="46"/>
      <c r="J40" s="92"/>
      <c r="K40" s="160"/>
      <c r="L40" s="92"/>
      <c r="M40" s="46"/>
      <c r="N40" s="92"/>
      <c r="O40" s="84"/>
      <c r="P40" s="84"/>
      <c r="Q40" s="84"/>
      <c r="R40" s="46"/>
      <c r="S40" s="46">
        <v>-23600</v>
      </c>
      <c r="T40" s="46">
        <f t="shared" si="3"/>
        <v>0</v>
      </c>
      <c r="U40" s="84"/>
      <c r="V40" s="87"/>
      <c r="W40" s="46" t="str">
        <f t="shared" si="9"/>
        <v/>
      </c>
      <c r="X40" s="89"/>
      <c r="Y40" s="89"/>
      <c r="Z40" s="46" t="str">
        <f t="shared" si="10"/>
        <v/>
      </c>
      <c r="AA40" s="89"/>
      <c r="AB40" s="90"/>
      <c r="AC40" s="46">
        <v>-186250</v>
      </c>
      <c r="AD40" s="89">
        <v>1</v>
      </c>
      <c r="AE40" s="90"/>
      <c r="AF40" s="99">
        <v>19020</v>
      </c>
      <c r="AG40" s="90">
        <v>1</v>
      </c>
      <c r="AH40" s="46">
        <f t="shared" si="11"/>
        <v>7060</v>
      </c>
      <c r="AI40" s="90">
        <v>1</v>
      </c>
      <c r="AJ40" s="46" t="str">
        <f t="shared" si="12"/>
        <v/>
      </c>
      <c r="AK40" s="89"/>
      <c r="AL40" s="89"/>
      <c r="AM40" s="46">
        <f t="shared" si="13"/>
        <v>-6900</v>
      </c>
      <c r="AN40" s="91">
        <v>1</v>
      </c>
      <c r="AO40" s="46" t="str">
        <f t="shared" si="14"/>
        <v/>
      </c>
      <c r="AP40" s="89"/>
      <c r="AQ40" s="46" t="str">
        <f t="shared" si="4"/>
        <v/>
      </c>
      <c r="AR40" s="89"/>
      <c r="AS40" s="46" t="str">
        <f t="shared" si="5"/>
        <v/>
      </c>
      <c r="AT40" s="89"/>
      <c r="AU40" s="46" t="str">
        <f t="shared" si="6"/>
        <v/>
      </c>
      <c r="AV40" s="89"/>
      <c r="AW40" s="46" t="str">
        <f t="shared" si="7"/>
        <v/>
      </c>
      <c r="AX40" s="89"/>
      <c r="AY40" s="46"/>
      <c r="AZ40" s="143"/>
      <c r="BA40" s="46" t="str">
        <f t="shared" si="8"/>
        <v/>
      </c>
      <c r="BB40" s="143"/>
    </row>
    <row r="41" spans="1:54" s="41" customFormat="1" ht="17.25" customHeight="1">
      <c r="A41" s="40"/>
      <c r="B41" s="162" t="s">
        <v>125</v>
      </c>
      <c r="C41" s="155">
        <v>34</v>
      </c>
      <c r="D41" s="156">
        <v>1</v>
      </c>
      <c r="E41" s="163" t="s">
        <v>268</v>
      </c>
      <c r="F41" s="146">
        <f t="shared" si="0"/>
        <v>-193670</v>
      </c>
      <c r="G41" s="58">
        <f t="shared" si="1"/>
        <v>0</v>
      </c>
      <c r="H41" s="58">
        <f t="shared" si="2"/>
        <v>0</v>
      </c>
      <c r="I41" s="46"/>
      <c r="J41" s="92"/>
      <c r="K41" s="160"/>
      <c r="L41" s="92"/>
      <c r="M41" s="46"/>
      <c r="N41" s="92"/>
      <c r="O41" s="84"/>
      <c r="P41" s="84"/>
      <c r="Q41" s="84"/>
      <c r="R41" s="46"/>
      <c r="S41" s="46">
        <v>-23600</v>
      </c>
      <c r="T41" s="46">
        <f t="shared" si="3"/>
        <v>0</v>
      </c>
      <c r="U41" s="84"/>
      <c r="V41" s="87"/>
      <c r="W41" s="46" t="str">
        <f t="shared" si="9"/>
        <v/>
      </c>
      <c r="X41" s="89"/>
      <c r="Y41" s="89"/>
      <c r="Z41" s="46" t="str">
        <f t="shared" si="10"/>
        <v/>
      </c>
      <c r="AA41" s="89"/>
      <c r="AB41" s="90"/>
      <c r="AC41" s="46">
        <v>-186250</v>
      </c>
      <c r="AD41" s="89">
        <v>1</v>
      </c>
      <c r="AE41" s="90"/>
      <c r="AF41" s="99">
        <v>16020</v>
      </c>
      <c r="AG41" s="90">
        <v>1</v>
      </c>
      <c r="AH41" s="46">
        <f t="shared" si="11"/>
        <v>7060</v>
      </c>
      <c r="AI41" s="90">
        <v>1</v>
      </c>
      <c r="AJ41" s="46" t="str">
        <f t="shared" si="12"/>
        <v/>
      </c>
      <c r="AK41" s="89"/>
      <c r="AL41" s="89"/>
      <c r="AM41" s="46">
        <f t="shared" si="13"/>
        <v>-6900</v>
      </c>
      <c r="AN41" s="91">
        <v>1</v>
      </c>
      <c r="AO41" s="46" t="str">
        <f t="shared" si="14"/>
        <v/>
      </c>
      <c r="AP41" s="89"/>
      <c r="AQ41" s="46" t="str">
        <f t="shared" si="4"/>
        <v/>
      </c>
      <c r="AR41" s="89"/>
      <c r="AS41" s="46" t="str">
        <f t="shared" si="5"/>
        <v/>
      </c>
      <c r="AT41" s="89"/>
      <c r="AU41" s="46" t="str">
        <f t="shared" si="6"/>
        <v/>
      </c>
      <c r="AV41" s="89"/>
      <c r="AW41" s="46" t="str">
        <f t="shared" si="7"/>
        <v/>
      </c>
      <c r="AX41" s="89"/>
      <c r="AY41" s="46"/>
      <c r="AZ41" s="143"/>
      <c r="BA41" s="46" t="str">
        <f t="shared" si="8"/>
        <v/>
      </c>
      <c r="BB41" s="143"/>
    </row>
    <row r="42" spans="1:54" s="41" customFormat="1" ht="17.25" customHeight="1">
      <c r="A42" s="40"/>
      <c r="B42" s="162" t="s">
        <v>14</v>
      </c>
      <c r="C42" s="155">
        <v>35</v>
      </c>
      <c r="D42" s="156">
        <v>1</v>
      </c>
      <c r="E42" s="163" t="s">
        <v>258</v>
      </c>
      <c r="F42" s="146">
        <f t="shared" si="0"/>
        <v>-190670</v>
      </c>
      <c r="G42" s="58">
        <f t="shared" si="1"/>
        <v>0</v>
      </c>
      <c r="H42" s="58">
        <f t="shared" si="2"/>
        <v>0</v>
      </c>
      <c r="I42" s="46"/>
      <c r="J42" s="92"/>
      <c r="K42" s="160"/>
      <c r="L42" s="92"/>
      <c r="M42" s="46"/>
      <c r="N42" s="92"/>
      <c r="O42" s="84"/>
      <c r="P42" s="84"/>
      <c r="Q42" s="84"/>
      <c r="R42" s="46"/>
      <c r="S42" s="46">
        <v>-23600</v>
      </c>
      <c r="T42" s="46">
        <f t="shared" si="3"/>
        <v>0</v>
      </c>
      <c r="U42" s="84"/>
      <c r="V42" s="87"/>
      <c r="W42" s="46" t="str">
        <f t="shared" si="9"/>
        <v/>
      </c>
      <c r="X42" s="89"/>
      <c r="Y42" s="89"/>
      <c r="Z42" s="46" t="str">
        <f t="shared" si="10"/>
        <v/>
      </c>
      <c r="AA42" s="89"/>
      <c r="AB42" s="90"/>
      <c r="AC42" s="46">
        <v>-186250</v>
      </c>
      <c r="AD42" s="89">
        <v>1</v>
      </c>
      <c r="AE42" s="90"/>
      <c r="AF42" s="99">
        <v>19020</v>
      </c>
      <c r="AG42" s="90">
        <v>1</v>
      </c>
      <c r="AH42" s="46">
        <f t="shared" si="11"/>
        <v>7060</v>
      </c>
      <c r="AI42" s="90">
        <v>1</v>
      </c>
      <c r="AJ42" s="46" t="str">
        <f t="shared" si="12"/>
        <v/>
      </c>
      <c r="AK42" s="89"/>
      <c r="AL42" s="89"/>
      <c r="AM42" s="46">
        <f t="shared" si="13"/>
        <v>-6900</v>
      </c>
      <c r="AN42" s="91">
        <v>1</v>
      </c>
      <c r="AO42" s="46" t="str">
        <f t="shared" si="14"/>
        <v/>
      </c>
      <c r="AP42" s="89"/>
      <c r="AQ42" s="46" t="str">
        <f t="shared" si="4"/>
        <v/>
      </c>
      <c r="AR42" s="89"/>
      <c r="AS42" s="46" t="str">
        <f t="shared" si="5"/>
        <v/>
      </c>
      <c r="AT42" s="89"/>
      <c r="AU42" s="46" t="str">
        <f t="shared" si="6"/>
        <v/>
      </c>
      <c r="AV42" s="89"/>
      <c r="AW42" s="46" t="str">
        <f t="shared" si="7"/>
        <v/>
      </c>
      <c r="AX42" s="89"/>
      <c r="AY42" s="46"/>
      <c r="AZ42" s="143"/>
      <c r="BA42" s="46" t="str">
        <f t="shared" si="8"/>
        <v/>
      </c>
      <c r="BB42" s="143"/>
    </row>
    <row r="43" spans="1:54" s="41" customFormat="1" ht="17.25" customHeight="1">
      <c r="A43" s="40"/>
      <c r="B43" s="162" t="s">
        <v>29</v>
      </c>
      <c r="C43" s="155">
        <v>36</v>
      </c>
      <c r="D43" s="156">
        <v>1</v>
      </c>
      <c r="E43" s="163" t="s">
        <v>233</v>
      </c>
      <c r="F43" s="146">
        <f t="shared" si="0"/>
        <v>-189680</v>
      </c>
      <c r="G43" s="58">
        <f t="shared" si="1"/>
        <v>0</v>
      </c>
      <c r="H43" s="58">
        <f t="shared" si="2"/>
        <v>0</v>
      </c>
      <c r="I43" s="46"/>
      <c r="J43" s="92"/>
      <c r="K43" s="160"/>
      <c r="L43" s="92"/>
      <c r="M43" s="46"/>
      <c r="N43" s="92"/>
      <c r="O43" s="84"/>
      <c r="P43" s="84"/>
      <c r="Q43" s="84"/>
      <c r="R43" s="46"/>
      <c r="S43" s="46">
        <v>-23600</v>
      </c>
      <c r="T43" s="46">
        <f t="shared" si="3"/>
        <v>0</v>
      </c>
      <c r="U43" s="84"/>
      <c r="V43" s="87"/>
      <c r="W43" s="46" t="str">
        <f t="shared" si="9"/>
        <v/>
      </c>
      <c r="X43" s="89"/>
      <c r="Y43" s="89"/>
      <c r="Z43" s="46" t="str">
        <f t="shared" si="10"/>
        <v/>
      </c>
      <c r="AA43" s="89"/>
      <c r="AB43" s="90"/>
      <c r="AC43" s="46">
        <v>-186250</v>
      </c>
      <c r="AD43" s="89">
        <v>1</v>
      </c>
      <c r="AE43" s="90"/>
      <c r="AF43" s="99">
        <v>20010</v>
      </c>
      <c r="AG43" s="90">
        <v>1</v>
      </c>
      <c r="AH43" s="46">
        <f t="shared" si="11"/>
        <v>7060</v>
      </c>
      <c r="AI43" s="90">
        <v>1</v>
      </c>
      <c r="AJ43" s="46" t="str">
        <f t="shared" si="12"/>
        <v/>
      </c>
      <c r="AK43" s="89"/>
      <c r="AL43" s="89"/>
      <c r="AM43" s="46">
        <f t="shared" si="13"/>
        <v>-6900</v>
      </c>
      <c r="AN43" s="91">
        <v>1</v>
      </c>
      <c r="AO43" s="46" t="str">
        <f t="shared" si="14"/>
        <v/>
      </c>
      <c r="AP43" s="89"/>
      <c r="AQ43" s="46" t="str">
        <f t="shared" si="4"/>
        <v/>
      </c>
      <c r="AR43" s="89"/>
      <c r="AS43" s="46" t="str">
        <f t="shared" si="5"/>
        <v/>
      </c>
      <c r="AT43" s="89"/>
      <c r="AU43" s="46" t="str">
        <f t="shared" si="6"/>
        <v/>
      </c>
      <c r="AV43" s="89"/>
      <c r="AW43" s="46" t="str">
        <f t="shared" si="7"/>
        <v/>
      </c>
      <c r="AX43" s="89"/>
      <c r="AY43" s="46"/>
      <c r="AZ43" s="143"/>
      <c r="BA43" s="46" t="str">
        <f t="shared" si="8"/>
        <v/>
      </c>
      <c r="BB43" s="143"/>
    </row>
    <row r="44" spans="1:54" s="41" customFormat="1" ht="17.25" customHeight="1">
      <c r="A44" s="40"/>
      <c r="B44" s="162" t="s">
        <v>17</v>
      </c>
      <c r="C44" s="155">
        <v>37</v>
      </c>
      <c r="D44" s="156">
        <v>1</v>
      </c>
      <c r="E44" s="163" t="s">
        <v>208</v>
      </c>
      <c r="F44" s="146">
        <f t="shared" si="0"/>
        <v>-193670</v>
      </c>
      <c r="G44" s="58">
        <f t="shared" si="1"/>
        <v>0</v>
      </c>
      <c r="H44" s="58">
        <f t="shared" si="2"/>
        <v>0</v>
      </c>
      <c r="I44" s="46"/>
      <c r="J44" s="92"/>
      <c r="K44" s="160"/>
      <c r="L44" s="92"/>
      <c r="M44" s="46"/>
      <c r="N44" s="92"/>
      <c r="O44" s="84"/>
      <c r="P44" s="84"/>
      <c r="Q44" s="84"/>
      <c r="R44" s="46"/>
      <c r="S44" s="46">
        <v>-23600</v>
      </c>
      <c r="T44" s="46">
        <f t="shared" si="3"/>
        <v>0</v>
      </c>
      <c r="U44" s="84"/>
      <c r="V44" s="87"/>
      <c r="W44" s="46" t="str">
        <f t="shared" si="9"/>
        <v/>
      </c>
      <c r="X44" s="89"/>
      <c r="Y44" s="89"/>
      <c r="Z44" s="46" t="str">
        <f t="shared" si="10"/>
        <v/>
      </c>
      <c r="AA44" s="89"/>
      <c r="AB44" s="90"/>
      <c r="AC44" s="46">
        <v>-186250</v>
      </c>
      <c r="AD44" s="89">
        <v>1</v>
      </c>
      <c r="AE44" s="90"/>
      <c r="AF44" s="99">
        <v>16020</v>
      </c>
      <c r="AG44" s="90">
        <v>1</v>
      </c>
      <c r="AH44" s="46">
        <f t="shared" si="11"/>
        <v>7060</v>
      </c>
      <c r="AI44" s="90">
        <v>1</v>
      </c>
      <c r="AJ44" s="46" t="str">
        <f t="shared" si="12"/>
        <v/>
      </c>
      <c r="AK44" s="89"/>
      <c r="AL44" s="89"/>
      <c r="AM44" s="46">
        <f t="shared" si="13"/>
        <v>-6900</v>
      </c>
      <c r="AN44" s="91">
        <v>1</v>
      </c>
      <c r="AO44" s="46" t="str">
        <f t="shared" si="14"/>
        <v/>
      </c>
      <c r="AP44" s="89"/>
      <c r="AQ44" s="46" t="str">
        <f t="shared" si="4"/>
        <v/>
      </c>
      <c r="AR44" s="89"/>
      <c r="AS44" s="46" t="str">
        <f t="shared" si="5"/>
        <v/>
      </c>
      <c r="AT44" s="89"/>
      <c r="AU44" s="46" t="str">
        <f t="shared" si="6"/>
        <v/>
      </c>
      <c r="AV44" s="89"/>
      <c r="AW44" s="46" t="str">
        <f t="shared" si="7"/>
        <v/>
      </c>
      <c r="AX44" s="89"/>
      <c r="AY44" s="46"/>
      <c r="AZ44" s="143"/>
      <c r="BA44" s="46" t="str">
        <f t="shared" si="8"/>
        <v/>
      </c>
      <c r="BB44" s="143"/>
    </row>
    <row r="45" spans="1:54" s="41" customFormat="1" ht="17.25" customHeight="1">
      <c r="A45" s="40"/>
      <c r="B45" s="162" t="s">
        <v>10</v>
      </c>
      <c r="C45" s="155">
        <v>38</v>
      </c>
      <c r="D45" s="156">
        <v>1</v>
      </c>
      <c r="E45" s="163" t="s">
        <v>244</v>
      </c>
      <c r="F45" s="146">
        <f t="shared" si="0"/>
        <v>-183250</v>
      </c>
      <c r="G45" s="58">
        <f t="shared" si="1"/>
        <v>0</v>
      </c>
      <c r="H45" s="58">
        <f t="shared" si="2"/>
        <v>0</v>
      </c>
      <c r="I45" s="46"/>
      <c r="J45" s="92"/>
      <c r="K45" s="160"/>
      <c r="L45" s="92"/>
      <c r="M45" s="46"/>
      <c r="N45" s="92"/>
      <c r="O45" s="84"/>
      <c r="P45" s="84"/>
      <c r="Q45" s="84"/>
      <c r="R45" s="46"/>
      <c r="S45" s="46">
        <v>-23600</v>
      </c>
      <c r="T45" s="46">
        <f t="shared" si="3"/>
        <v>0</v>
      </c>
      <c r="U45" s="84"/>
      <c r="V45" s="87"/>
      <c r="W45" s="46" t="str">
        <f t="shared" si="9"/>
        <v/>
      </c>
      <c r="X45" s="89"/>
      <c r="Y45" s="89"/>
      <c r="Z45" s="46" t="str">
        <f t="shared" si="10"/>
        <v/>
      </c>
      <c r="AA45" s="89"/>
      <c r="AB45" s="90"/>
      <c r="AC45" s="46">
        <v>-186250</v>
      </c>
      <c r="AD45" s="89">
        <v>1</v>
      </c>
      <c r="AE45" s="90"/>
      <c r="AF45" s="99">
        <v>26440</v>
      </c>
      <c r="AG45" s="90">
        <v>1</v>
      </c>
      <c r="AH45" s="46">
        <f t="shared" si="11"/>
        <v>7060</v>
      </c>
      <c r="AI45" s="90">
        <v>1</v>
      </c>
      <c r="AJ45" s="46" t="str">
        <f t="shared" si="12"/>
        <v/>
      </c>
      <c r="AK45" s="89"/>
      <c r="AL45" s="89"/>
      <c r="AM45" s="46">
        <f t="shared" si="13"/>
        <v>-6900</v>
      </c>
      <c r="AN45" s="91">
        <v>1</v>
      </c>
      <c r="AO45" s="46" t="str">
        <f t="shared" si="14"/>
        <v/>
      </c>
      <c r="AP45" s="89"/>
      <c r="AQ45" s="46" t="str">
        <f t="shared" si="4"/>
        <v/>
      </c>
      <c r="AR45" s="89"/>
      <c r="AS45" s="46" t="str">
        <f t="shared" si="5"/>
        <v/>
      </c>
      <c r="AT45" s="89"/>
      <c r="AU45" s="46" t="str">
        <f t="shared" si="6"/>
        <v/>
      </c>
      <c r="AV45" s="89"/>
      <c r="AW45" s="46" t="str">
        <f t="shared" si="7"/>
        <v/>
      </c>
      <c r="AX45" s="89"/>
      <c r="AY45" s="46"/>
      <c r="AZ45" s="143"/>
      <c r="BA45" s="46" t="str">
        <f t="shared" si="8"/>
        <v/>
      </c>
      <c r="BB45" s="143"/>
    </row>
    <row r="46" spans="1:54" s="41" customFormat="1" ht="17.25" customHeight="1">
      <c r="A46" s="40"/>
      <c r="B46" s="162" t="s">
        <v>48</v>
      </c>
      <c r="C46" s="155">
        <v>39</v>
      </c>
      <c r="D46" s="156">
        <v>1</v>
      </c>
      <c r="E46" s="163" t="s">
        <v>176</v>
      </c>
      <c r="F46" s="146">
        <f t="shared" si="0"/>
        <v>-192680</v>
      </c>
      <c r="G46" s="58">
        <f t="shared" si="1"/>
        <v>0</v>
      </c>
      <c r="H46" s="58">
        <f t="shared" si="2"/>
        <v>0</v>
      </c>
      <c r="I46" s="46"/>
      <c r="J46" s="92"/>
      <c r="K46" s="160"/>
      <c r="L46" s="92"/>
      <c r="M46" s="46"/>
      <c r="N46" s="92"/>
      <c r="O46" s="84"/>
      <c r="P46" s="84"/>
      <c r="Q46" s="84"/>
      <c r="R46" s="46"/>
      <c r="S46" s="46">
        <v>-23600</v>
      </c>
      <c r="T46" s="46">
        <f t="shared" si="3"/>
        <v>0</v>
      </c>
      <c r="U46" s="84"/>
      <c r="V46" s="87"/>
      <c r="W46" s="46" t="str">
        <f t="shared" si="9"/>
        <v/>
      </c>
      <c r="X46" s="89"/>
      <c r="Y46" s="89"/>
      <c r="Z46" s="46" t="str">
        <f t="shared" si="10"/>
        <v/>
      </c>
      <c r="AA46" s="89"/>
      <c r="AB46" s="90"/>
      <c r="AC46" s="46">
        <v>-186250</v>
      </c>
      <c r="AD46" s="89">
        <v>1</v>
      </c>
      <c r="AE46" s="90"/>
      <c r="AF46" s="99">
        <v>17010</v>
      </c>
      <c r="AG46" s="90">
        <v>1</v>
      </c>
      <c r="AH46" s="46">
        <f t="shared" si="11"/>
        <v>7060</v>
      </c>
      <c r="AI46" s="90">
        <v>1</v>
      </c>
      <c r="AJ46" s="46" t="str">
        <f t="shared" si="12"/>
        <v/>
      </c>
      <c r="AK46" s="89"/>
      <c r="AL46" s="89"/>
      <c r="AM46" s="46">
        <f t="shared" si="13"/>
        <v>-6900</v>
      </c>
      <c r="AN46" s="91">
        <v>1</v>
      </c>
      <c r="AO46" s="46" t="str">
        <f t="shared" si="14"/>
        <v/>
      </c>
      <c r="AP46" s="89"/>
      <c r="AQ46" s="46" t="str">
        <f t="shared" si="4"/>
        <v/>
      </c>
      <c r="AR46" s="89"/>
      <c r="AS46" s="46" t="str">
        <f t="shared" si="5"/>
        <v/>
      </c>
      <c r="AT46" s="89"/>
      <c r="AU46" s="46" t="str">
        <f t="shared" si="6"/>
        <v/>
      </c>
      <c r="AV46" s="89"/>
      <c r="AW46" s="46" t="str">
        <f t="shared" si="7"/>
        <v/>
      </c>
      <c r="AX46" s="89"/>
      <c r="AY46" s="46"/>
      <c r="AZ46" s="143"/>
      <c r="BA46" s="46" t="str">
        <f t="shared" si="8"/>
        <v/>
      </c>
      <c r="BB46" s="143"/>
    </row>
    <row r="47" spans="1:54" s="41" customFormat="1" ht="17.25" customHeight="1">
      <c r="A47" s="40"/>
      <c r="B47" s="162" t="s">
        <v>103</v>
      </c>
      <c r="C47" s="155">
        <v>40</v>
      </c>
      <c r="D47" s="156">
        <v>1</v>
      </c>
      <c r="E47" s="163" t="s">
        <v>231</v>
      </c>
      <c r="F47" s="146">
        <f t="shared" si="0"/>
        <v>-192680</v>
      </c>
      <c r="G47" s="58">
        <f t="shared" si="1"/>
        <v>0</v>
      </c>
      <c r="H47" s="58">
        <f t="shared" si="2"/>
        <v>0</v>
      </c>
      <c r="I47" s="46"/>
      <c r="J47" s="92"/>
      <c r="K47" s="160"/>
      <c r="L47" s="92"/>
      <c r="M47" s="46"/>
      <c r="N47" s="92"/>
      <c r="O47" s="84"/>
      <c r="P47" s="84"/>
      <c r="Q47" s="84"/>
      <c r="R47" s="46"/>
      <c r="S47" s="46">
        <v>-23600</v>
      </c>
      <c r="T47" s="46">
        <f t="shared" si="3"/>
        <v>0</v>
      </c>
      <c r="U47" s="84"/>
      <c r="V47" s="87"/>
      <c r="W47" s="46" t="str">
        <f t="shared" si="9"/>
        <v/>
      </c>
      <c r="X47" s="89"/>
      <c r="Y47" s="89"/>
      <c r="Z47" s="46" t="str">
        <f t="shared" si="10"/>
        <v/>
      </c>
      <c r="AA47" s="89"/>
      <c r="AB47" s="90"/>
      <c r="AC47" s="46">
        <v>-186250</v>
      </c>
      <c r="AD47" s="89">
        <v>1</v>
      </c>
      <c r="AE47" s="90"/>
      <c r="AF47" s="99">
        <v>17010</v>
      </c>
      <c r="AG47" s="90">
        <v>1</v>
      </c>
      <c r="AH47" s="46">
        <f t="shared" si="11"/>
        <v>7060</v>
      </c>
      <c r="AI47" s="90">
        <v>1</v>
      </c>
      <c r="AJ47" s="46" t="str">
        <f t="shared" si="12"/>
        <v/>
      </c>
      <c r="AK47" s="89"/>
      <c r="AL47" s="89"/>
      <c r="AM47" s="46">
        <f t="shared" si="13"/>
        <v>-6900</v>
      </c>
      <c r="AN47" s="91">
        <v>1</v>
      </c>
      <c r="AO47" s="46" t="str">
        <f t="shared" si="14"/>
        <v/>
      </c>
      <c r="AP47" s="89"/>
      <c r="AQ47" s="46" t="str">
        <f t="shared" si="4"/>
        <v/>
      </c>
      <c r="AR47" s="89"/>
      <c r="AS47" s="46" t="str">
        <f t="shared" si="5"/>
        <v/>
      </c>
      <c r="AT47" s="89"/>
      <c r="AU47" s="46" t="str">
        <f t="shared" si="6"/>
        <v/>
      </c>
      <c r="AV47" s="89"/>
      <c r="AW47" s="46" t="str">
        <f t="shared" si="7"/>
        <v/>
      </c>
      <c r="AX47" s="89"/>
      <c r="AY47" s="46"/>
      <c r="AZ47" s="143"/>
      <c r="BA47" s="46" t="str">
        <f t="shared" si="8"/>
        <v/>
      </c>
      <c r="BB47" s="143"/>
    </row>
    <row r="48" spans="1:54" s="41" customFormat="1" ht="17.25" customHeight="1">
      <c r="A48" s="40"/>
      <c r="B48" s="152" t="s">
        <v>62</v>
      </c>
      <c r="C48" s="155">
        <v>41</v>
      </c>
      <c r="D48" s="156">
        <v>2</v>
      </c>
      <c r="E48" s="157" t="s">
        <v>205</v>
      </c>
      <c r="F48" s="146">
        <f>SUM(I48:M48,R48:T48,W48,AC48,AF48,AH48,AJ48,AM48,AO48,AQ48,AS48,AU48,AW48,BA48,Z48,AY48)-SUM(O48:Q48,U48)</f>
        <v>-104290</v>
      </c>
      <c r="G48" s="58">
        <f t="shared" ref="G48:G85" si="15">$R$3</f>
        <v>0</v>
      </c>
      <c r="H48" s="58">
        <f t="shared" ref="H48:H85" si="16">$T$3</f>
        <v>0</v>
      </c>
      <c r="I48" s="46"/>
      <c r="J48" s="92"/>
      <c r="K48" s="160"/>
      <c r="L48" s="92"/>
      <c r="M48" s="46"/>
      <c r="N48" s="92"/>
      <c r="O48" s="84"/>
      <c r="P48" s="84"/>
      <c r="Q48" s="84"/>
      <c r="R48" s="46"/>
      <c r="S48" s="46">
        <v>-11200</v>
      </c>
      <c r="T48" s="46">
        <f t="shared" si="3"/>
        <v>0</v>
      </c>
      <c r="U48" s="84"/>
      <c r="V48" s="87"/>
      <c r="W48" s="46" t="str">
        <f t="shared" si="9"/>
        <v/>
      </c>
      <c r="X48" s="89"/>
      <c r="Y48" s="89"/>
      <c r="Z48" s="46" t="str">
        <f t="shared" si="10"/>
        <v/>
      </c>
      <c r="AA48" s="89"/>
      <c r="AB48" s="90"/>
      <c r="AC48" s="46">
        <v>-141760</v>
      </c>
      <c r="AD48" s="89">
        <v>1</v>
      </c>
      <c r="AE48" s="90"/>
      <c r="AF48" s="99">
        <v>17010</v>
      </c>
      <c r="AG48" s="90">
        <v>1</v>
      </c>
      <c r="AH48" s="46">
        <f t="shared" si="11"/>
        <v>7060</v>
      </c>
      <c r="AI48" s="90">
        <v>1</v>
      </c>
      <c r="AJ48" s="46" t="str">
        <f t="shared" si="12"/>
        <v/>
      </c>
      <c r="AK48" s="89"/>
      <c r="AL48" s="89"/>
      <c r="AM48" s="46">
        <v>24600</v>
      </c>
      <c r="AN48" s="91">
        <v>1</v>
      </c>
      <c r="AO48" s="46" t="str">
        <f t="shared" si="14"/>
        <v/>
      </c>
      <c r="AP48" s="89"/>
      <c r="AQ48" s="46" t="str">
        <f t="shared" ref="AQ48:AQ85" si="17">IF(ISNUMBER(AR48),AR48*$AQ$3,"")</f>
        <v/>
      </c>
      <c r="AR48" s="89"/>
      <c r="AS48" s="46" t="str">
        <f t="shared" ref="AS48:AS85" si="18">IF(ISNUMBER(AT48),AT48*$AS$3,"")</f>
        <v/>
      </c>
      <c r="AT48" s="89"/>
      <c r="AU48" s="46" t="str">
        <f t="shared" ref="AU48:AU89" si="19">IF(ISNUMBER(AV48),AV48*$AU$3,"")</f>
        <v/>
      </c>
      <c r="AV48" s="89"/>
      <c r="AW48" s="46" t="str">
        <f t="shared" ref="AW48:AW85" si="20">IF(ISNUMBER(AX48),AX48*$AW$3,"")</f>
        <v/>
      </c>
      <c r="AX48" s="89"/>
      <c r="AY48" s="46"/>
      <c r="AZ48" s="143"/>
      <c r="BA48" s="46" t="str">
        <f t="shared" ref="BA48:BA79" si="21">IF(ISNUMBER(BB48),BB48*$BA$3,"")</f>
        <v/>
      </c>
      <c r="BB48" s="143"/>
    </row>
    <row r="49" spans="1:54" s="41" customFormat="1" ht="17.25" customHeight="1">
      <c r="A49" s="40"/>
      <c r="B49" s="152" t="s">
        <v>78</v>
      </c>
      <c r="C49" s="155">
        <v>42</v>
      </c>
      <c r="D49" s="156">
        <v>2</v>
      </c>
      <c r="E49" s="157" t="s">
        <v>234</v>
      </c>
      <c r="F49" s="146">
        <f>SUM(I49:M49,R49:T49,W49,AC49,AF49,AH49,AJ49,AM49,AO49,AQ49,AS49,AU49,AW49,BA49,Z49,AY49)-SUM(O49:Q49,U49)</f>
        <v>-97170</v>
      </c>
      <c r="G49" s="58">
        <f t="shared" si="15"/>
        <v>0</v>
      </c>
      <c r="H49" s="58">
        <f t="shared" si="16"/>
        <v>0</v>
      </c>
      <c r="I49" s="46"/>
      <c r="J49" s="92"/>
      <c r="K49" s="160"/>
      <c r="L49" s="92"/>
      <c r="M49" s="46"/>
      <c r="N49" s="92"/>
      <c r="O49" s="84"/>
      <c r="P49" s="84"/>
      <c r="Q49" s="84"/>
      <c r="R49" s="46"/>
      <c r="S49" s="46">
        <v>-11200</v>
      </c>
      <c r="T49" s="46">
        <f t="shared" si="3"/>
        <v>0</v>
      </c>
      <c r="U49" s="84"/>
      <c r="V49" s="87"/>
      <c r="W49" s="46" t="str">
        <f t="shared" si="9"/>
        <v/>
      </c>
      <c r="X49" s="89"/>
      <c r="Y49" s="89"/>
      <c r="Z49" s="46" t="str">
        <f t="shared" si="10"/>
        <v/>
      </c>
      <c r="AA49" s="89"/>
      <c r="AB49" s="90"/>
      <c r="AC49" s="46">
        <v>-133650</v>
      </c>
      <c r="AD49" s="89">
        <v>1</v>
      </c>
      <c r="AE49" s="90"/>
      <c r="AF49" s="99">
        <v>16020</v>
      </c>
      <c r="AG49" s="90">
        <v>1</v>
      </c>
      <c r="AH49" s="46">
        <f t="shared" si="11"/>
        <v>7060</v>
      </c>
      <c r="AI49" s="90">
        <v>1</v>
      </c>
      <c r="AJ49" s="46" t="str">
        <f t="shared" si="12"/>
        <v/>
      </c>
      <c r="AK49" s="89"/>
      <c r="AL49" s="89"/>
      <c r="AM49" s="46">
        <v>24600</v>
      </c>
      <c r="AN49" s="91">
        <v>1</v>
      </c>
      <c r="AO49" s="46" t="str">
        <f t="shared" si="14"/>
        <v/>
      </c>
      <c r="AP49" s="89"/>
      <c r="AQ49" s="46" t="str">
        <f t="shared" si="17"/>
        <v/>
      </c>
      <c r="AR49" s="89"/>
      <c r="AS49" s="46" t="str">
        <f t="shared" si="18"/>
        <v/>
      </c>
      <c r="AT49" s="89"/>
      <c r="AU49" s="46" t="str">
        <f t="shared" si="19"/>
        <v/>
      </c>
      <c r="AV49" s="89"/>
      <c r="AW49" s="46" t="str">
        <f t="shared" si="20"/>
        <v/>
      </c>
      <c r="AX49" s="89"/>
      <c r="AY49" s="46"/>
      <c r="AZ49" s="143"/>
      <c r="BA49" s="46" t="str">
        <f t="shared" si="21"/>
        <v/>
      </c>
      <c r="BB49" s="143"/>
    </row>
    <row r="50" spans="1:54" s="41" customFormat="1" ht="17.25" customHeight="1">
      <c r="A50" s="40"/>
      <c r="B50" s="152" t="s">
        <v>115</v>
      </c>
      <c r="C50" s="155">
        <v>43</v>
      </c>
      <c r="D50" s="156">
        <v>2</v>
      </c>
      <c r="E50" s="157" t="s">
        <v>237</v>
      </c>
      <c r="F50" s="146">
        <f t="shared" ref="F50:F121" si="22">SUM(I50:M50,R50:T50,W50,AC50,AF50,AH50,AJ50,AM50,AO50,AQ50,AS50,AU50,AW50,BA50,Z50,AY50)-SUM(O50:Q50,U50)</f>
        <v>-88270</v>
      </c>
      <c r="G50" s="58">
        <f t="shared" si="15"/>
        <v>0</v>
      </c>
      <c r="H50" s="58">
        <f t="shared" si="16"/>
        <v>0</v>
      </c>
      <c r="I50" s="46"/>
      <c r="J50" s="92"/>
      <c r="K50" s="160"/>
      <c r="L50" s="92"/>
      <c r="M50" s="46"/>
      <c r="N50" s="92"/>
      <c r="O50" s="84"/>
      <c r="P50" s="84"/>
      <c r="Q50" s="84"/>
      <c r="R50" s="46"/>
      <c r="S50" s="46">
        <v>-11200</v>
      </c>
      <c r="T50" s="46">
        <f t="shared" si="3"/>
        <v>0</v>
      </c>
      <c r="U50" s="84"/>
      <c r="V50" s="87"/>
      <c r="W50" s="46" t="str">
        <f t="shared" si="9"/>
        <v/>
      </c>
      <c r="X50" s="89"/>
      <c r="Y50" s="89"/>
      <c r="Z50" s="46" t="str">
        <f t="shared" si="10"/>
        <v/>
      </c>
      <c r="AA50" s="89"/>
      <c r="AB50" s="90"/>
      <c r="AC50" s="46">
        <v>-124750</v>
      </c>
      <c r="AD50" s="89">
        <v>1</v>
      </c>
      <c r="AE50" s="90"/>
      <c r="AF50" s="99">
        <v>16020</v>
      </c>
      <c r="AG50" s="90">
        <v>1</v>
      </c>
      <c r="AH50" s="46">
        <f t="shared" si="11"/>
        <v>7060</v>
      </c>
      <c r="AI50" s="90">
        <v>1</v>
      </c>
      <c r="AJ50" s="46" t="str">
        <f t="shared" si="12"/>
        <v/>
      </c>
      <c r="AK50" s="89"/>
      <c r="AL50" s="89"/>
      <c r="AM50" s="46">
        <v>24600</v>
      </c>
      <c r="AN50" s="91">
        <v>1</v>
      </c>
      <c r="AO50" s="46" t="str">
        <f t="shared" si="14"/>
        <v/>
      </c>
      <c r="AP50" s="89"/>
      <c r="AQ50" s="46" t="str">
        <f t="shared" si="17"/>
        <v/>
      </c>
      <c r="AR50" s="89"/>
      <c r="AS50" s="46" t="str">
        <f t="shared" si="18"/>
        <v/>
      </c>
      <c r="AT50" s="89"/>
      <c r="AU50" s="46" t="str">
        <f t="shared" si="19"/>
        <v/>
      </c>
      <c r="AV50" s="89"/>
      <c r="AW50" s="46" t="str">
        <f t="shared" si="20"/>
        <v/>
      </c>
      <c r="AX50" s="89"/>
      <c r="AY50" s="46"/>
      <c r="AZ50" s="143"/>
      <c r="BA50" s="46" t="str">
        <f t="shared" si="21"/>
        <v/>
      </c>
      <c r="BB50" s="143"/>
    </row>
    <row r="51" spans="1:54" s="41" customFormat="1" ht="17.25" customHeight="1">
      <c r="A51" s="40"/>
      <c r="B51" s="152" t="s">
        <v>93</v>
      </c>
      <c r="C51" s="155">
        <v>44</v>
      </c>
      <c r="D51" s="156">
        <v>2</v>
      </c>
      <c r="E51" s="157" t="s">
        <v>162</v>
      </c>
      <c r="F51" s="146">
        <f t="shared" si="22"/>
        <v>-108910</v>
      </c>
      <c r="G51" s="58">
        <f t="shared" si="15"/>
        <v>0</v>
      </c>
      <c r="H51" s="58">
        <f t="shared" si="16"/>
        <v>0</v>
      </c>
      <c r="I51" s="46"/>
      <c r="J51" s="92"/>
      <c r="K51" s="160"/>
      <c r="L51" s="92"/>
      <c r="M51" s="46"/>
      <c r="N51" s="92"/>
      <c r="O51" s="84"/>
      <c r="P51" s="84"/>
      <c r="Q51" s="84"/>
      <c r="R51" s="46"/>
      <c r="S51" s="46">
        <v>-11200</v>
      </c>
      <c r="T51" s="46">
        <f t="shared" si="3"/>
        <v>0</v>
      </c>
      <c r="U51" s="84"/>
      <c r="V51" s="87"/>
      <c r="W51" s="46" t="str">
        <f t="shared" si="9"/>
        <v/>
      </c>
      <c r="X51" s="89"/>
      <c r="Y51" s="89"/>
      <c r="Z51" s="46" t="str">
        <f t="shared" si="10"/>
        <v/>
      </c>
      <c r="AA51" s="89"/>
      <c r="AB51" s="90"/>
      <c r="AC51" s="46">
        <v>-152810</v>
      </c>
      <c r="AD51" s="89">
        <v>1</v>
      </c>
      <c r="AE51" s="90"/>
      <c r="AF51" s="99">
        <v>23440</v>
      </c>
      <c r="AG51" s="90">
        <v>1</v>
      </c>
      <c r="AH51" s="46">
        <f t="shared" si="11"/>
        <v>7060</v>
      </c>
      <c r="AI51" s="90">
        <v>1</v>
      </c>
      <c r="AJ51" s="46" t="str">
        <f t="shared" si="12"/>
        <v/>
      </c>
      <c r="AK51" s="89"/>
      <c r="AL51" s="89"/>
      <c r="AM51" s="46">
        <v>24600</v>
      </c>
      <c r="AN51" s="91">
        <v>1</v>
      </c>
      <c r="AO51" s="46" t="str">
        <f t="shared" si="14"/>
        <v/>
      </c>
      <c r="AP51" s="89"/>
      <c r="AQ51" s="46" t="str">
        <f t="shared" si="17"/>
        <v/>
      </c>
      <c r="AR51" s="89"/>
      <c r="AS51" s="46" t="str">
        <f t="shared" si="18"/>
        <v/>
      </c>
      <c r="AT51" s="89"/>
      <c r="AU51" s="46" t="str">
        <f t="shared" si="19"/>
        <v/>
      </c>
      <c r="AV51" s="89"/>
      <c r="AW51" s="46" t="str">
        <f t="shared" si="20"/>
        <v/>
      </c>
      <c r="AX51" s="89"/>
      <c r="AY51" s="46"/>
      <c r="AZ51" s="143"/>
      <c r="BA51" s="46" t="str">
        <f t="shared" si="21"/>
        <v/>
      </c>
      <c r="BB51" s="143"/>
    </row>
    <row r="52" spans="1:54" s="41" customFormat="1" ht="17.25" customHeight="1">
      <c r="A52" s="40"/>
      <c r="B52" s="152" t="s">
        <v>47</v>
      </c>
      <c r="C52" s="155">
        <v>45</v>
      </c>
      <c r="D52" s="156">
        <v>2</v>
      </c>
      <c r="E52" s="157" t="s">
        <v>239</v>
      </c>
      <c r="F52" s="146">
        <f t="shared" si="22"/>
        <v>-92730</v>
      </c>
      <c r="G52" s="58">
        <f t="shared" si="15"/>
        <v>0</v>
      </c>
      <c r="H52" s="58">
        <f t="shared" si="16"/>
        <v>0</v>
      </c>
      <c r="I52" s="46"/>
      <c r="J52" s="92"/>
      <c r="K52" s="160"/>
      <c r="L52" s="92"/>
      <c r="M52" s="46"/>
      <c r="N52" s="92"/>
      <c r="O52" s="84"/>
      <c r="P52" s="84"/>
      <c r="Q52" s="84"/>
      <c r="R52" s="46"/>
      <c r="S52" s="46">
        <v>-11200</v>
      </c>
      <c r="T52" s="46">
        <f t="shared" si="3"/>
        <v>0</v>
      </c>
      <c r="U52" s="84"/>
      <c r="V52" s="87"/>
      <c r="W52" s="46" t="str">
        <f t="shared" si="9"/>
        <v/>
      </c>
      <c r="X52" s="89"/>
      <c r="Y52" s="89"/>
      <c r="Z52" s="46" t="str">
        <f t="shared" si="10"/>
        <v/>
      </c>
      <c r="AA52" s="89"/>
      <c r="AB52" s="90"/>
      <c r="AC52" s="46">
        <v>-130200</v>
      </c>
      <c r="AD52" s="89">
        <v>1</v>
      </c>
      <c r="AE52" s="90"/>
      <c r="AF52" s="99">
        <v>17010</v>
      </c>
      <c r="AG52" s="90">
        <v>1</v>
      </c>
      <c r="AH52" s="46">
        <f t="shared" si="11"/>
        <v>7060</v>
      </c>
      <c r="AI52" s="90">
        <v>1</v>
      </c>
      <c r="AJ52" s="46" t="str">
        <f t="shared" si="12"/>
        <v/>
      </c>
      <c r="AK52" s="89"/>
      <c r="AL52" s="89"/>
      <c r="AM52" s="46">
        <v>24600</v>
      </c>
      <c r="AN52" s="91">
        <v>1</v>
      </c>
      <c r="AO52" s="46" t="str">
        <f t="shared" si="14"/>
        <v/>
      </c>
      <c r="AP52" s="89"/>
      <c r="AQ52" s="46" t="str">
        <f t="shared" si="17"/>
        <v/>
      </c>
      <c r="AR52" s="89"/>
      <c r="AS52" s="46" t="str">
        <f t="shared" si="18"/>
        <v/>
      </c>
      <c r="AT52" s="89"/>
      <c r="AU52" s="46" t="str">
        <f t="shared" si="19"/>
        <v/>
      </c>
      <c r="AV52" s="89"/>
      <c r="AW52" s="46" t="str">
        <f t="shared" si="20"/>
        <v/>
      </c>
      <c r="AX52" s="89"/>
      <c r="AY52" s="46"/>
      <c r="AZ52" s="143"/>
      <c r="BA52" s="46" t="str">
        <f t="shared" si="21"/>
        <v/>
      </c>
      <c r="BB52" s="143"/>
    </row>
    <row r="53" spans="1:54" s="41" customFormat="1" ht="17.25" customHeight="1">
      <c r="A53" s="40"/>
      <c r="B53" s="152" t="s">
        <v>72</v>
      </c>
      <c r="C53" s="155">
        <v>46</v>
      </c>
      <c r="D53" s="156">
        <v>2</v>
      </c>
      <c r="E53" s="157" t="s">
        <v>254</v>
      </c>
      <c r="F53" s="146">
        <f t="shared" si="22"/>
        <v>-106170</v>
      </c>
      <c r="G53" s="58">
        <f t="shared" si="15"/>
        <v>0</v>
      </c>
      <c r="H53" s="58">
        <f t="shared" si="16"/>
        <v>0</v>
      </c>
      <c r="I53" s="46"/>
      <c r="J53" s="92"/>
      <c r="K53" s="160"/>
      <c r="L53" s="92"/>
      <c r="M53" s="46"/>
      <c r="N53" s="92"/>
      <c r="O53" s="84"/>
      <c r="P53" s="84"/>
      <c r="Q53" s="84"/>
      <c r="R53" s="46"/>
      <c r="S53" s="46">
        <v>-11200</v>
      </c>
      <c r="T53" s="46">
        <f t="shared" si="3"/>
        <v>0</v>
      </c>
      <c r="U53" s="84"/>
      <c r="V53" s="87"/>
      <c r="W53" s="46" t="str">
        <f t="shared" si="9"/>
        <v/>
      </c>
      <c r="X53" s="89"/>
      <c r="Y53" s="89"/>
      <c r="Z53" s="46" t="str">
        <f t="shared" si="10"/>
        <v/>
      </c>
      <c r="AA53" s="89"/>
      <c r="AB53" s="90"/>
      <c r="AC53" s="46">
        <v>-142650</v>
      </c>
      <c r="AD53" s="89">
        <v>1</v>
      </c>
      <c r="AE53" s="90"/>
      <c r="AF53" s="99">
        <v>16020</v>
      </c>
      <c r="AG53" s="90">
        <v>1</v>
      </c>
      <c r="AH53" s="46">
        <f t="shared" si="11"/>
        <v>7060</v>
      </c>
      <c r="AI53" s="90">
        <v>1</v>
      </c>
      <c r="AJ53" s="46" t="str">
        <f t="shared" si="12"/>
        <v/>
      </c>
      <c r="AK53" s="89"/>
      <c r="AL53" s="89"/>
      <c r="AM53" s="46">
        <v>24600</v>
      </c>
      <c r="AN53" s="91">
        <v>1</v>
      </c>
      <c r="AO53" s="46" t="str">
        <f t="shared" si="14"/>
        <v/>
      </c>
      <c r="AP53" s="89"/>
      <c r="AQ53" s="46" t="str">
        <f t="shared" si="17"/>
        <v/>
      </c>
      <c r="AR53" s="89"/>
      <c r="AS53" s="46" t="str">
        <f t="shared" si="18"/>
        <v/>
      </c>
      <c r="AT53" s="89"/>
      <c r="AU53" s="46" t="str">
        <f t="shared" si="19"/>
        <v/>
      </c>
      <c r="AV53" s="89"/>
      <c r="AW53" s="46" t="str">
        <f t="shared" si="20"/>
        <v/>
      </c>
      <c r="AX53" s="89"/>
      <c r="AY53" s="46"/>
      <c r="AZ53" s="143"/>
      <c r="BA53" s="46" t="str">
        <f t="shared" si="21"/>
        <v/>
      </c>
      <c r="BB53" s="143"/>
    </row>
    <row r="54" spans="1:54" s="41" customFormat="1" ht="17.25" customHeight="1">
      <c r="A54" s="40"/>
      <c r="B54" s="152" t="s">
        <v>131</v>
      </c>
      <c r="C54" s="155">
        <v>47</v>
      </c>
      <c r="D54" s="156">
        <v>2</v>
      </c>
      <c r="E54" s="157" t="s">
        <v>247</v>
      </c>
      <c r="F54" s="146">
        <f t="shared" si="22"/>
        <v>-123090</v>
      </c>
      <c r="G54" s="58">
        <f t="shared" si="15"/>
        <v>0</v>
      </c>
      <c r="H54" s="58">
        <f t="shared" si="16"/>
        <v>0</v>
      </c>
      <c r="I54" s="46"/>
      <c r="J54" s="92"/>
      <c r="K54" s="160"/>
      <c r="L54" s="92"/>
      <c r="M54" s="46"/>
      <c r="N54" s="92"/>
      <c r="O54" s="84"/>
      <c r="P54" s="84"/>
      <c r="Q54" s="84"/>
      <c r="R54" s="46"/>
      <c r="S54" s="46"/>
      <c r="T54" s="46">
        <f t="shared" si="3"/>
        <v>0</v>
      </c>
      <c r="U54" s="84"/>
      <c r="V54" s="87"/>
      <c r="W54" s="46" t="str">
        <f t="shared" si="9"/>
        <v/>
      </c>
      <c r="X54" s="89"/>
      <c r="Y54" s="89"/>
      <c r="Z54" s="46" t="str">
        <f t="shared" si="10"/>
        <v/>
      </c>
      <c r="AA54" s="89"/>
      <c r="AB54" s="90"/>
      <c r="AC54" s="46">
        <v>-147160</v>
      </c>
      <c r="AD54" s="89">
        <v>1</v>
      </c>
      <c r="AE54" s="89"/>
      <c r="AF54" s="99">
        <v>17010</v>
      </c>
      <c r="AG54" s="90">
        <v>1</v>
      </c>
      <c r="AH54" s="46">
        <f t="shared" si="11"/>
        <v>7060</v>
      </c>
      <c r="AI54" s="90">
        <v>1</v>
      </c>
      <c r="AJ54" s="46" t="str">
        <f t="shared" si="12"/>
        <v/>
      </c>
      <c r="AK54" s="89"/>
      <c r="AL54" s="89"/>
      <c r="AM54" s="46" t="str">
        <f t="shared" si="13"/>
        <v/>
      </c>
      <c r="AN54" s="91"/>
      <c r="AO54" s="46" t="str">
        <f t="shared" si="14"/>
        <v/>
      </c>
      <c r="AP54" s="89"/>
      <c r="AQ54" s="46" t="str">
        <f t="shared" si="17"/>
        <v/>
      </c>
      <c r="AR54" s="89"/>
      <c r="AS54" s="46" t="str">
        <f t="shared" si="18"/>
        <v/>
      </c>
      <c r="AT54" s="89"/>
      <c r="AU54" s="46" t="str">
        <f t="shared" si="19"/>
        <v/>
      </c>
      <c r="AV54" s="89"/>
      <c r="AW54" s="46" t="str">
        <f t="shared" si="20"/>
        <v/>
      </c>
      <c r="AX54" s="89"/>
      <c r="AY54" s="46"/>
      <c r="AZ54" s="143"/>
      <c r="BA54" s="46" t="str">
        <f t="shared" si="21"/>
        <v/>
      </c>
      <c r="BB54" s="143"/>
    </row>
    <row r="55" spans="1:54" s="41" customFormat="1" ht="17.25" customHeight="1">
      <c r="A55" s="40"/>
      <c r="B55" s="152" t="s">
        <v>35</v>
      </c>
      <c r="C55" s="155">
        <v>48</v>
      </c>
      <c r="D55" s="156">
        <v>2</v>
      </c>
      <c r="E55" s="157" t="s">
        <v>242</v>
      </c>
      <c r="F55" s="146">
        <f t="shared" si="22"/>
        <v>-99320</v>
      </c>
      <c r="G55" s="58">
        <f t="shared" si="15"/>
        <v>0</v>
      </c>
      <c r="H55" s="58">
        <f t="shared" si="16"/>
        <v>0</v>
      </c>
      <c r="I55" s="46"/>
      <c r="J55" s="92"/>
      <c r="K55" s="160"/>
      <c r="L55" s="92"/>
      <c r="M55" s="46"/>
      <c r="N55" s="92"/>
      <c r="O55" s="84"/>
      <c r="P55" s="84"/>
      <c r="Q55" s="84"/>
      <c r="R55" s="46"/>
      <c r="S55" s="46">
        <v>-11200</v>
      </c>
      <c r="T55" s="46">
        <f t="shared" si="3"/>
        <v>0</v>
      </c>
      <c r="U55" s="84"/>
      <c r="V55" s="87"/>
      <c r="W55" s="46" t="str">
        <f t="shared" si="9"/>
        <v/>
      </c>
      <c r="X55" s="89"/>
      <c r="Y55" s="89"/>
      <c r="Z55" s="46" t="str">
        <f t="shared" si="10"/>
        <v/>
      </c>
      <c r="AA55" s="89"/>
      <c r="AB55" s="90"/>
      <c r="AC55" s="46">
        <v>-135800</v>
      </c>
      <c r="AD55" s="89">
        <v>1</v>
      </c>
      <c r="AE55" s="90"/>
      <c r="AF55" s="99">
        <v>16020</v>
      </c>
      <c r="AG55" s="90">
        <v>1</v>
      </c>
      <c r="AH55" s="46">
        <f t="shared" si="11"/>
        <v>7060</v>
      </c>
      <c r="AI55" s="90">
        <v>1</v>
      </c>
      <c r="AJ55" s="46" t="str">
        <f t="shared" si="12"/>
        <v/>
      </c>
      <c r="AK55" s="89"/>
      <c r="AL55" s="89"/>
      <c r="AM55" s="46">
        <v>24600</v>
      </c>
      <c r="AN55" s="91">
        <v>1</v>
      </c>
      <c r="AO55" s="46" t="str">
        <f t="shared" si="14"/>
        <v/>
      </c>
      <c r="AP55" s="89"/>
      <c r="AQ55" s="46" t="str">
        <f t="shared" si="17"/>
        <v/>
      </c>
      <c r="AR55" s="89"/>
      <c r="AS55" s="46" t="str">
        <f t="shared" si="18"/>
        <v/>
      </c>
      <c r="AT55" s="89"/>
      <c r="AU55" s="46" t="str">
        <f t="shared" si="19"/>
        <v/>
      </c>
      <c r="AV55" s="89"/>
      <c r="AW55" s="46" t="str">
        <f t="shared" si="20"/>
        <v/>
      </c>
      <c r="AX55" s="89"/>
      <c r="AY55" s="46"/>
      <c r="AZ55" s="143"/>
      <c r="BA55" s="46" t="str">
        <f t="shared" si="21"/>
        <v/>
      </c>
      <c r="BB55" s="143"/>
    </row>
    <row r="56" spans="1:54" s="41" customFormat="1" ht="17.25" customHeight="1">
      <c r="A56" s="40"/>
      <c r="B56" s="152" t="s">
        <v>105</v>
      </c>
      <c r="C56" s="155">
        <v>49</v>
      </c>
      <c r="D56" s="156">
        <v>2</v>
      </c>
      <c r="E56" s="157" t="s">
        <v>175</v>
      </c>
      <c r="F56" s="146">
        <f t="shared" si="22"/>
        <v>240710</v>
      </c>
      <c r="G56" s="58">
        <f t="shared" si="15"/>
        <v>0</v>
      </c>
      <c r="H56" s="58">
        <f t="shared" si="16"/>
        <v>0</v>
      </c>
      <c r="I56" s="46"/>
      <c r="J56" s="92"/>
      <c r="K56" s="160">
        <v>232500</v>
      </c>
      <c r="L56" s="92" t="s">
        <v>128</v>
      </c>
      <c r="M56" s="46">
        <v>97500</v>
      </c>
      <c r="N56" s="92" t="s">
        <v>128</v>
      </c>
      <c r="O56" s="84"/>
      <c r="P56" s="84"/>
      <c r="Q56" s="84"/>
      <c r="R56" s="46"/>
      <c r="S56" s="46">
        <v>-11200</v>
      </c>
      <c r="T56" s="46">
        <f t="shared" si="3"/>
        <v>0</v>
      </c>
      <c r="U56" s="84"/>
      <c r="V56" s="87"/>
      <c r="W56" s="46" t="str">
        <f t="shared" si="9"/>
        <v/>
      </c>
      <c r="X56" s="89"/>
      <c r="Y56" s="89"/>
      <c r="Z56" s="46">
        <f t="shared" si="10"/>
        <v>15000</v>
      </c>
      <c r="AA56" s="89">
        <v>1</v>
      </c>
      <c r="AB56" s="90" t="s">
        <v>128</v>
      </c>
      <c r="AC56" s="46">
        <v>-141760</v>
      </c>
      <c r="AD56" s="89">
        <v>1</v>
      </c>
      <c r="AE56" s="89"/>
      <c r="AF56" s="99">
        <v>17010</v>
      </c>
      <c r="AG56" s="90">
        <v>1</v>
      </c>
      <c r="AH56" s="46">
        <f t="shared" si="11"/>
        <v>7060</v>
      </c>
      <c r="AI56" s="90">
        <v>1</v>
      </c>
      <c r="AJ56" s="46" t="str">
        <f t="shared" si="12"/>
        <v/>
      </c>
      <c r="AK56" s="89"/>
      <c r="AL56" s="89"/>
      <c r="AM56" s="46">
        <v>24600</v>
      </c>
      <c r="AN56" s="91">
        <v>1</v>
      </c>
      <c r="AO56" s="46" t="str">
        <f t="shared" si="14"/>
        <v/>
      </c>
      <c r="AP56" s="89"/>
      <c r="AQ56" s="46" t="str">
        <f t="shared" si="17"/>
        <v/>
      </c>
      <c r="AR56" s="89"/>
      <c r="AS56" s="46" t="str">
        <f t="shared" si="18"/>
        <v/>
      </c>
      <c r="AT56" s="89"/>
      <c r="AU56" s="46" t="str">
        <f t="shared" si="19"/>
        <v/>
      </c>
      <c r="AV56" s="89"/>
      <c r="AW56" s="46" t="str">
        <f t="shared" si="20"/>
        <v/>
      </c>
      <c r="AX56" s="89"/>
      <c r="AY56" s="46"/>
      <c r="AZ56" s="143"/>
      <c r="BA56" s="46" t="str">
        <f t="shared" si="21"/>
        <v/>
      </c>
      <c r="BB56" s="143"/>
    </row>
    <row r="57" spans="1:54" s="41" customFormat="1" ht="17.25" customHeight="1">
      <c r="A57" s="40"/>
      <c r="B57" s="152" t="s">
        <v>45</v>
      </c>
      <c r="C57" s="155">
        <v>50</v>
      </c>
      <c r="D57" s="156">
        <v>2</v>
      </c>
      <c r="E57" s="157" t="s">
        <v>225</v>
      </c>
      <c r="F57" s="146">
        <f t="shared" si="22"/>
        <v>-71000</v>
      </c>
      <c r="G57" s="58">
        <f t="shared" si="15"/>
        <v>0</v>
      </c>
      <c r="H57" s="58">
        <f t="shared" si="16"/>
        <v>0</v>
      </c>
      <c r="I57" s="46"/>
      <c r="J57" s="92"/>
      <c r="K57" s="160"/>
      <c r="L57" s="92"/>
      <c r="M57" s="46"/>
      <c r="N57" s="92"/>
      <c r="O57" s="84"/>
      <c r="P57" s="84"/>
      <c r="Q57" s="84"/>
      <c r="R57" s="46"/>
      <c r="S57" s="46">
        <v>-11200</v>
      </c>
      <c r="T57" s="46">
        <f t="shared" si="3"/>
        <v>0</v>
      </c>
      <c r="U57" s="84"/>
      <c r="V57" s="87"/>
      <c r="W57" s="46" t="str">
        <f t="shared" si="9"/>
        <v/>
      </c>
      <c r="X57" s="89"/>
      <c r="Y57" s="89"/>
      <c r="Z57" s="46" t="str">
        <f t="shared" si="10"/>
        <v/>
      </c>
      <c r="AA57" s="89"/>
      <c r="AB57" s="90"/>
      <c r="AC57" s="46">
        <v>-114900</v>
      </c>
      <c r="AD57" s="89">
        <v>1</v>
      </c>
      <c r="AE57" s="90"/>
      <c r="AF57" s="99">
        <v>23440</v>
      </c>
      <c r="AG57" s="90">
        <v>1</v>
      </c>
      <c r="AH57" s="46">
        <f t="shared" si="11"/>
        <v>7060</v>
      </c>
      <c r="AI57" s="90">
        <v>1</v>
      </c>
      <c r="AJ57" s="46" t="str">
        <f t="shared" si="12"/>
        <v/>
      </c>
      <c r="AK57" s="89"/>
      <c r="AL57" s="89"/>
      <c r="AM57" s="46">
        <v>24600</v>
      </c>
      <c r="AN57" s="91">
        <v>1</v>
      </c>
      <c r="AO57" s="46" t="str">
        <f t="shared" si="14"/>
        <v/>
      </c>
      <c r="AP57" s="89"/>
      <c r="AQ57" s="46" t="str">
        <f t="shared" si="17"/>
        <v/>
      </c>
      <c r="AR57" s="89"/>
      <c r="AS57" s="46" t="str">
        <f t="shared" si="18"/>
        <v/>
      </c>
      <c r="AT57" s="89"/>
      <c r="AU57" s="46" t="str">
        <f t="shared" si="19"/>
        <v/>
      </c>
      <c r="AV57" s="89"/>
      <c r="AW57" s="46" t="str">
        <f t="shared" si="20"/>
        <v/>
      </c>
      <c r="AX57" s="89"/>
      <c r="AY57" s="46"/>
      <c r="AZ57" s="143"/>
      <c r="BA57" s="46" t="str">
        <f t="shared" si="21"/>
        <v/>
      </c>
      <c r="BB57" s="143"/>
    </row>
    <row r="58" spans="1:54" s="41" customFormat="1" ht="17.25" customHeight="1">
      <c r="A58" s="40"/>
      <c r="B58" s="152" t="s">
        <v>12</v>
      </c>
      <c r="C58" s="155">
        <v>51</v>
      </c>
      <c r="D58" s="156">
        <v>2</v>
      </c>
      <c r="E58" s="157" t="s">
        <v>226</v>
      </c>
      <c r="F58" s="146">
        <f>SUM(I58:M58,R58:T58,W58,AC58,AF58,AH58,AJ58,AM58,AO58,AQ58,AS58,AU58,AW58,BA58,Z58,AY58)-SUM(O58:Q58,U58)</f>
        <v>-81780</v>
      </c>
      <c r="G58" s="58">
        <f t="shared" si="15"/>
        <v>0</v>
      </c>
      <c r="H58" s="58">
        <f t="shared" si="16"/>
        <v>0</v>
      </c>
      <c r="I58" s="46"/>
      <c r="J58" s="92"/>
      <c r="K58" s="160"/>
      <c r="L58" s="92"/>
      <c r="M58" s="46"/>
      <c r="N58" s="92"/>
      <c r="O58" s="84"/>
      <c r="P58" s="84"/>
      <c r="Q58" s="84"/>
      <c r="R58" s="46"/>
      <c r="S58" s="46">
        <v>-11200</v>
      </c>
      <c r="T58" s="46">
        <f>H58</f>
        <v>0</v>
      </c>
      <c r="U58" s="84"/>
      <c r="V58" s="87"/>
      <c r="W58" s="46" t="str">
        <f t="shared" si="9"/>
        <v/>
      </c>
      <c r="X58" s="89"/>
      <c r="Y58" s="89"/>
      <c r="Z58" s="46" t="str">
        <f t="shared" si="10"/>
        <v/>
      </c>
      <c r="AA58" s="89"/>
      <c r="AB58" s="90"/>
      <c r="AC58" s="46">
        <v>-118260</v>
      </c>
      <c r="AD58" s="89">
        <v>1</v>
      </c>
      <c r="AE58" s="90"/>
      <c r="AF58" s="99">
        <v>16020</v>
      </c>
      <c r="AG58" s="90">
        <v>1</v>
      </c>
      <c r="AH58" s="46">
        <f t="shared" si="11"/>
        <v>7060</v>
      </c>
      <c r="AI58" s="90">
        <v>1</v>
      </c>
      <c r="AJ58" s="46" t="str">
        <f t="shared" si="12"/>
        <v/>
      </c>
      <c r="AK58" s="89"/>
      <c r="AL58" s="89"/>
      <c r="AM58" s="46">
        <v>24600</v>
      </c>
      <c r="AN58" s="91">
        <v>1</v>
      </c>
      <c r="AO58" s="46" t="str">
        <f t="shared" si="14"/>
        <v/>
      </c>
      <c r="AP58" s="89"/>
      <c r="AQ58" s="46" t="str">
        <f>IF(ISNUMBER(AR58),AR58*$AQ$3,"")</f>
        <v/>
      </c>
      <c r="AR58" s="89"/>
      <c r="AS58" s="46" t="str">
        <f>IF(ISNUMBER(AT58),AT58*$AS$3,"")</f>
        <v/>
      </c>
      <c r="AT58" s="89"/>
      <c r="AU58" s="46" t="str">
        <f>IF(ISNUMBER(AV58),AV58*$AU$3,"")</f>
        <v/>
      </c>
      <c r="AV58" s="89"/>
      <c r="AW58" s="46" t="str">
        <f>IF(ISNUMBER(AX58),AX58*$AW$3,"")</f>
        <v/>
      </c>
      <c r="AX58" s="89"/>
      <c r="AY58" s="46"/>
      <c r="AZ58" s="143"/>
      <c r="BA58" s="46" t="str">
        <f>IF(ISNUMBER(BB58),BB58*$BA$3,"")</f>
        <v/>
      </c>
      <c r="BB58" s="143"/>
    </row>
    <row r="59" spans="1:54" s="41" customFormat="1" ht="17.25" customHeight="1">
      <c r="A59" s="40"/>
      <c r="B59" s="152" t="s">
        <v>18</v>
      </c>
      <c r="C59" s="155">
        <v>52</v>
      </c>
      <c r="D59" s="156">
        <v>2</v>
      </c>
      <c r="E59" s="157" t="s">
        <v>243</v>
      </c>
      <c r="F59" s="146">
        <f t="shared" si="22"/>
        <v>-106180</v>
      </c>
      <c r="G59" s="58">
        <f t="shared" si="15"/>
        <v>0</v>
      </c>
      <c r="H59" s="58">
        <f t="shared" si="16"/>
        <v>0</v>
      </c>
      <c r="I59" s="46"/>
      <c r="J59" s="92"/>
      <c r="K59" s="160"/>
      <c r="L59" s="92"/>
      <c r="M59" s="46"/>
      <c r="N59" s="92"/>
      <c r="O59" s="84"/>
      <c r="P59" s="84"/>
      <c r="Q59" s="84"/>
      <c r="R59" s="46"/>
      <c r="S59" s="46">
        <v>-11200</v>
      </c>
      <c r="T59" s="46">
        <f t="shared" si="3"/>
        <v>0</v>
      </c>
      <c r="U59" s="84"/>
      <c r="V59" s="87"/>
      <c r="W59" s="46" t="str">
        <f t="shared" si="9"/>
        <v/>
      </c>
      <c r="X59" s="89"/>
      <c r="Y59" s="89"/>
      <c r="Z59" s="46" t="str">
        <f t="shared" si="10"/>
        <v/>
      </c>
      <c r="AA59" s="89"/>
      <c r="AB59" s="90"/>
      <c r="AC59" s="46">
        <v>-142660</v>
      </c>
      <c r="AD59" s="89">
        <v>1</v>
      </c>
      <c r="AE59" s="90"/>
      <c r="AF59" s="99">
        <v>16020</v>
      </c>
      <c r="AG59" s="90">
        <v>1</v>
      </c>
      <c r="AH59" s="46">
        <f t="shared" si="11"/>
        <v>7060</v>
      </c>
      <c r="AI59" s="90">
        <v>1</v>
      </c>
      <c r="AJ59" s="46" t="str">
        <f t="shared" si="12"/>
        <v/>
      </c>
      <c r="AK59" s="89"/>
      <c r="AL59" s="89"/>
      <c r="AM59" s="46">
        <v>24600</v>
      </c>
      <c r="AN59" s="91">
        <v>1</v>
      </c>
      <c r="AO59" s="46" t="str">
        <f t="shared" si="14"/>
        <v/>
      </c>
      <c r="AP59" s="89"/>
      <c r="AQ59" s="46" t="str">
        <f t="shared" si="17"/>
        <v/>
      </c>
      <c r="AR59" s="89"/>
      <c r="AS59" s="46" t="str">
        <f t="shared" si="18"/>
        <v/>
      </c>
      <c r="AT59" s="89"/>
      <c r="AU59" s="46" t="str">
        <f t="shared" si="19"/>
        <v/>
      </c>
      <c r="AV59" s="89"/>
      <c r="AW59" s="46" t="str">
        <f t="shared" si="20"/>
        <v/>
      </c>
      <c r="AX59" s="89"/>
      <c r="AY59" s="46"/>
      <c r="AZ59" s="143"/>
      <c r="BA59" s="46" t="str">
        <f t="shared" si="21"/>
        <v/>
      </c>
      <c r="BB59" s="143"/>
    </row>
    <row r="60" spans="1:54" s="41" customFormat="1" ht="17.25" customHeight="1">
      <c r="A60" s="40"/>
      <c r="B60" s="152" t="s">
        <v>25</v>
      </c>
      <c r="C60" s="155">
        <v>53</v>
      </c>
      <c r="D60" s="156">
        <v>2</v>
      </c>
      <c r="E60" s="157" t="s">
        <v>241</v>
      </c>
      <c r="F60" s="146">
        <f t="shared" si="22"/>
        <v>-78420</v>
      </c>
      <c r="G60" s="58">
        <f t="shared" si="15"/>
        <v>0</v>
      </c>
      <c r="H60" s="58">
        <f t="shared" si="16"/>
        <v>0</v>
      </c>
      <c r="I60" s="46"/>
      <c r="J60" s="92"/>
      <c r="K60" s="160"/>
      <c r="L60" s="92"/>
      <c r="M60" s="46"/>
      <c r="N60" s="92"/>
      <c r="O60" s="84"/>
      <c r="P60" s="84"/>
      <c r="Q60" s="84"/>
      <c r="R60" s="46"/>
      <c r="S60" s="46">
        <v>-11200</v>
      </c>
      <c r="T60" s="46">
        <f t="shared" si="3"/>
        <v>0</v>
      </c>
      <c r="U60" s="84"/>
      <c r="V60" s="87"/>
      <c r="W60" s="46" t="str">
        <f t="shared" si="9"/>
        <v/>
      </c>
      <c r="X60" s="89"/>
      <c r="Y60" s="89"/>
      <c r="Z60" s="46" t="str">
        <f t="shared" si="10"/>
        <v/>
      </c>
      <c r="AA60" s="89"/>
      <c r="AB60" s="90"/>
      <c r="AC60" s="46">
        <v>-114900</v>
      </c>
      <c r="AD60" s="89">
        <v>1</v>
      </c>
      <c r="AE60" s="90"/>
      <c r="AF60" s="99">
        <v>16020</v>
      </c>
      <c r="AG60" s="90">
        <v>1</v>
      </c>
      <c r="AH60" s="46">
        <f t="shared" si="11"/>
        <v>7060</v>
      </c>
      <c r="AI60" s="90">
        <v>1</v>
      </c>
      <c r="AJ60" s="46" t="str">
        <f t="shared" si="12"/>
        <v/>
      </c>
      <c r="AK60" s="89"/>
      <c r="AL60" s="89"/>
      <c r="AM60" s="46">
        <v>24600</v>
      </c>
      <c r="AN60" s="91">
        <v>1</v>
      </c>
      <c r="AO60" s="46" t="str">
        <f t="shared" si="14"/>
        <v/>
      </c>
      <c r="AP60" s="89"/>
      <c r="AQ60" s="46" t="str">
        <f t="shared" si="17"/>
        <v/>
      </c>
      <c r="AR60" s="89"/>
      <c r="AS60" s="46" t="str">
        <f t="shared" si="18"/>
        <v/>
      </c>
      <c r="AT60" s="89"/>
      <c r="AU60" s="46" t="str">
        <f t="shared" si="19"/>
        <v/>
      </c>
      <c r="AV60" s="89"/>
      <c r="AW60" s="46" t="str">
        <f t="shared" si="20"/>
        <v/>
      </c>
      <c r="AX60" s="89"/>
      <c r="AY60" s="46"/>
      <c r="AZ60" s="143"/>
      <c r="BA60" s="46" t="str">
        <f t="shared" si="21"/>
        <v/>
      </c>
      <c r="BB60" s="143"/>
    </row>
    <row r="61" spans="1:54" s="41" customFormat="1" ht="17.25" customHeight="1">
      <c r="A61" s="40"/>
      <c r="B61" s="152" t="s">
        <v>86</v>
      </c>
      <c r="C61" s="155">
        <v>54</v>
      </c>
      <c r="D61" s="156">
        <v>2</v>
      </c>
      <c r="E61" s="157" t="s">
        <v>269</v>
      </c>
      <c r="F61" s="146">
        <f t="shared" si="22"/>
        <v>-78420</v>
      </c>
      <c r="G61" s="58">
        <f t="shared" si="15"/>
        <v>0</v>
      </c>
      <c r="H61" s="58">
        <f t="shared" si="16"/>
        <v>0</v>
      </c>
      <c r="I61" s="46"/>
      <c r="J61" s="92"/>
      <c r="K61" s="160"/>
      <c r="L61" s="92"/>
      <c r="M61" s="46"/>
      <c r="N61" s="92"/>
      <c r="O61" s="84"/>
      <c r="P61" s="84"/>
      <c r="Q61" s="84"/>
      <c r="R61" s="46"/>
      <c r="S61" s="46">
        <v>-11200</v>
      </c>
      <c r="T61" s="46">
        <f t="shared" si="3"/>
        <v>0</v>
      </c>
      <c r="U61" s="84"/>
      <c r="V61" s="87"/>
      <c r="W61" s="46" t="str">
        <f t="shared" si="9"/>
        <v/>
      </c>
      <c r="X61" s="89"/>
      <c r="Y61" s="89"/>
      <c r="Z61" s="46" t="str">
        <f t="shared" si="10"/>
        <v/>
      </c>
      <c r="AA61" s="89"/>
      <c r="AB61" s="90"/>
      <c r="AC61" s="46">
        <v>-114900</v>
      </c>
      <c r="AD61" s="89">
        <v>1</v>
      </c>
      <c r="AE61" s="90"/>
      <c r="AF61" s="99">
        <v>16020</v>
      </c>
      <c r="AG61" s="90">
        <v>1</v>
      </c>
      <c r="AH61" s="46">
        <f t="shared" si="11"/>
        <v>7060</v>
      </c>
      <c r="AI61" s="90">
        <v>1</v>
      </c>
      <c r="AJ61" s="46" t="str">
        <f t="shared" si="12"/>
        <v/>
      </c>
      <c r="AK61" s="89"/>
      <c r="AL61" s="89"/>
      <c r="AM61" s="46">
        <v>24600</v>
      </c>
      <c r="AN61" s="91">
        <v>1</v>
      </c>
      <c r="AO61" s="46" t="str">
        <f t="shared" si="14"/>
        <v/>
      </c>
      <c r="AP61" s="89"/>
      <c r="AQ61" s="46" t="str">
        <f t="shared" si="17"/>
        <v/>
      </c>
      <c r="AR61" s="89"/>
      <c r="AS61" s="46" t="str">
        <f t="shared" si="18"/>
        <v/>
      </c>
      <c r="AT61" s="89"/>
      <c r="AU61" s="46" t="str">
        <f t="shared" si="19"/>
        <v/>
      </c>
      <c r="AV61" s="89"/>
      <c r="AW61" s="46" t="str">
        <f t="shared" si="20"/>
        <v/>
      </c>
      <c r="AX61" s="89"/>
      <c r="AY61" s="46"/>
      <c r="AZ61" s="143"/>
      <c r="BA61" s="46" t="str">
        <f t="shared" si="21"/>
        <v/>
      </c>
      <c r="BB61" s="143"/>
    </row>
    <row r="62" spans="1:54" s="41" customFormat="1" ht="17.25" customHeight="1">
      <c r="A62" s="40"/>
      <c r="B62" s="152" t="s">
        <v>84</v>
      </c>
      <c r="C62" s="155">
        <v>55</v>
      </c>
      <c r="D62" s="156">
        <v>2</v>
      </c>
      <c r="E62" s="157" t="s">
        <v>217</v>
      </c>
      <c r="F62" s="146">
        <f t="shared" si="22"/>
        <v>-105190</v>
      </c>
      <c r="G62" s="58">
        <f t="shared" si="15"/>
        <v>0</v>
      </c>
      <c r="H62" s="58">
        <f t="shared" si="16"/>
        <v>0</v>
      </c>
      <c r="I62" s="46"/>
      <c r="J62" s="92"/>
      <c r="K62" s="160"/>
      <c r="L62" s="92"/>
      <c r="M62" s="46"/>
      <c r="N62" s="92"/>
      <c r="O62" s="84"/>
      <c r="P62" s="84"/>
      <c r="Q62" s="84"/>
      <c r="R62" s="46"/>
      <c r="S62" s="46">
        <v>-11200</v>
      </c>
      <c r="T62" s="46">
        <f t="shared" si="3"/>
        <v>0</v>
      </c>
      <c r="U62" s="84"/>
      <c r="V62" s="87"/>
      <c r="W62" s="46" t="str">
        <f t="shared" si="9"/>
        <v/>
      </c>
      <c r="X62" s="89"/>
      <c r="Y62" s="89"/>
      <c r="Z62" s="46" t="str">
        <f t="shared" si="10"/>
        <v/>
      </c>
      <c r="AA62" s="89"/>
      <c r="AB62" s="90"/>
      <c r="AC62" s="46">
        <v>-142660</v>
      </c>
      <c r="AD62" s="89">
        <v>1</v>
      </c>
      <c r="AE62" s="90"/>
      <c r="AF62" s="99">
        <v>17010</v>
      </c>
      <c r="AG62" s="90">
        <v>1</v>
      </c>
      <c r="AH62" s="46">
        <f t="shared" si="11"/>
        <v>7060</v>
      </c>
      <c r="AI62" s="90">
        <v>1</v>
      </c>
      <c r="AJ62" s="46" t="str">
        <f t="shared" si="12"/>
        <v/>
      </c>
      <c r="AK62" s="89"/>
      <c r="AL62" s="89"/>
      <c r="AM62" s="46">
        <v>24600</v>
      </c>
      <c r="AN62" s="91">
        <v>1</v>
      </c>
      <c r="AO62" s="46" t="str">
        <f t="shared" si="14"/>
        <v/>
      </c>
      <c r="AP62" s="89"/>
      <c r="AQ62" s="46" t="str">
        <f t="shared" si="17"/>
        <v/>
      </c>
      <c r="AR62" s="89"/>
      <c r="AS62" s="46" t="str">
        <f t="shared" si="18"/>
        <v/>
      </c>
      <c r="AT62" s="89"/>
      <c r="AU62" s="46" t="str">
        <f t="shared" si="19"/>
        <v/>
      </c>
      <c r="AV62" s="89"/>
      <c r="AW62" s="46" t="str">
        <f t="shared" si="20"/>
        <v/>
      </c>
      <c r="AX62" s="89"/>
      <c r="AY62" s="46"/>
      <c r="AZ62" s="143"/>
      <c r="BA62" s="46" t="str">
        <f t="shared" si="21"/>
        <v/>
      </c>
      <c r="BB62" s="143"/>
    </row>
    <row r="63" spans="1:54" s="41" customFormat="1" ht="17.25" customHeight="1">
      <c r="A63" s="40"/>
      <c r="B63" s="152" t="s">
        <v>121</v>
      </c>
      <c r="C63" s="155">
        <v>56</v>
      </c>
      <c r="D63" s="156">
        <v>2</v>
      </c>
      <c r="E63" s="157" t="s">
        <v>257</v>
      </c>
      <c r="F63" s="146">
        <f t="shared" si="22"/>
        <v>-96180</v>
      </c>
      <c r="G63" s="58">
        <f t="shared" si="15"/>
        <v>0</v>
      </c>
      <c r="H63" s="58">
        <f t="shared" si="16"/>
        <v>0</v>
      </c>
      <c r="I63" s="46"/>
      <c r="J63" s="92"/>
      <c r="K63" s="160"/>
      <c r="L63" s="92"/>
      <c r="M63" s="46"/>
      <c r="N63" s="92"/>
      <c r="O63" s="84"/>
      <c r="P63" s="84"/>
      <c r="Q63" s="84"/>
      <c r="R63" s="46"/>
      <c r="S63" s="46">
        <v>-11200</v>
      </c>
      <c r="T63" s="46">
        <f t="shared" si="3"/>
        <v>0</v>
      </c>
      <c r="U63" s="84"/>
      <c r="V63" s="87"/>
      <c r="W63" s="46" t="str">
        <f t="shared" si="9"/>
        <v/>
      </c>
      <c r="X63" s="89"/>
      <c r="Y63" s="89"/>
      <c r="Z63" s="46" t="str">
        <f t="shared" si="10"/>
        <v/>
      </c>
      <c r="AA63" s="89"/>
      <c r="AB63" s="90"/>
      <c r="AC63" s="46">
        <v>-133650</v>
      </c>
      <c r="AD63" s="89">
        <v>1</v>
      </c>
      <c r="AE63" s="90"/>
      <c r="AF63" s="99">
        <v>17010</v>
      </c>
      <c r="AG63" s="90">
        <v>1</v>
      </c>
      <c r="AH63" s="46">
        <f t="shared" si="11"/>
        <v>7060</v>
      </c>
      <c r="AI63" s="90">
        <v>1</v>
      </c>
      <c r="AJ63" s="46" t="str">
        <f t="shared" si="12"/>
        <v/>
      </c>
      <c r="AK63" s="89"/>
      <c r="AL63" s="89"/>
      <c r="AM63" s="46">
        <v>24600</v>
      </c>
      <c r="AN63" s="91">
        <v>1</v>
      </c>
      <c r="AO63" s="46" t="str">
        <f t="shared" si="14"/>
        <v/>
      </c>
      <c r="AP63" s="89"/>
      <c r="AQ63" s="46" t="str">
        <f t="shared" si="17"/>
        <v/>
      </c>
      <c r="AR63" s="89"/>
      <c r="AS63" s="46" t="str">
        <f t="shared" si="18"/>
        <v/>
      </c>
      <c r="AT63" s="89"/>
      <c r="AU63" s="46" t="str">
        <f t="shared" si="19"/>
        <v/>
      </c>
      <c r="AV63" s="89"/>
      <c r="AW63" s="46" t="str">
        <f t="shared" si="20"/>
        <v/>
      </c>
      <c r="AX63" s="89"/>
      <c r="AY63" s="46"/>
      <c r="AZ63" s="143"/>
      <c r="BA63" s="46" t="str">
        <f t="shared" si="21"/>
        <v/>
      </c>
      <c r="BB63" s="143"/>
    </row>
    <row r="64" spans="1:54" s="41" customFormat="1" ht="17.25" customHeight="1">
      <c r="A64" s="40"/>
      <c r="B64" s="152" t="s">
        <v>119</v>
      </c>
      <c r="C64" s="155">
        <v>57</v>
      </c>
      <c r="D64" s="156">
        <v>2</v>
      </c>
      <c r="E64" s="157" t="s">
        <v>229</v>
      </c>
      <c r="F64" s="146">
        <f t="shared" si="22"/>
        <v>-78420</v>
      </c>
      <c r="G64" s="58">
        <f t="shared" si="15"/>
        <v>0</v>
      </c>
      <c r="H64" s="58">
        <f t="shared" si="16"/>
        <v>0</v>
      </c>
      <c r="I64" s="46"/>
      <c r="J64" s="92"/>
      <c r="K64" s="160"/>
      <c r="L64" s="92"/>
      <c r="M64" s="46"/>
      <c r="N64" s="92"/>
      <c r="O64" s="84"/>
      <c r="P64" s="84"/>
      <c r="Q64" s="84"/>
      <c r="R64" s="46"/>
      <c r="S64" s="46">
        <v>-11200</v>
      </c>
      <c r="T64" s="46">
        <f t="shared" si="3"/>
        <v>0</v>
      </c>
      <c r="U64" s="84"/>
      <c r="V64" s="87"/>
      <c r="W64" s="46" t="str">
        <f t="shared" si="9"/>
        <v/>
      </c>
      <c r="X64" s="89"/>
      <c r="Y64" s="89"/>
      <c r="Z64" s="46" t="str">
        <f t="shared" si="10"/>
        <v/>
      </c>
      <c r="AA64" s="89"/>
      <c r="AB64" s="90"/>
      <c r="AC64" s="46">
        <v>-114900</v>
      </c>
      <c r="AD64" s="89">
        <v>1</v>
      </c>
      <c r="AE64" s="90"/>
      <c r="AF64" s="99">
        <v>16020</v>
      </c>
      <c r="AG64" s="90">
        <v>1</v>
      </c>
      <c r="AH64" s="46">
        <f t="shared" si="11"/>
        <v>7060</v>
      </c>
      <c r="AI64" s="90">
        <v>1</v>
      </c>
      <c r="AJ64" s="46" t="str">
        <f t="shared" si="12"/>
        <v/>
      </c>
      <c r="AK64" s="89"/>
      <c r="AL64" s="89"/>
      <c r="AM64" s="46">
        <v>24600</v>
      </c>
      <c r="AN64" s="91">
        <v>1</v>
      </c>
      <c r="AO64" s="46" t="str">
        <f t="shared" si="14"/>
        <v/>
      </c>
      <c r="AP64" s="89"/>
      <c r="AQ64" s="46" t="str">
        <f t="shared" si="17"/>
        <v/>
      </c>
      <c r="AR64" s="89"/>
      <c r="AS64" s="46" t="str">
        <f t="shared" si="18"/>
        <v/>
      </c>
      <c r="AT64" s="89"/>
      <c r="AU64" s="46" t="str">
        <f t="shared" si="19"/>
        <v/>
      </c>
      <c r="AV64" s="89"/>
      <c r="AW64" s="46" t="str">
        <f t="shared" si="20"/>
        <v/>
      </c>
      <c r="AX64" s="89"/>
      <c r="AY64" s="46"/>
      <c r="AZ64" s="143"/>
      <c r="BA64" s="46" t="str">
        <f t="shared" si="21"/>
        <v/>
      </c>
      <c r="BB64" s="143"/>
    </row>
    <row r="65" spans="1:54" s="41" customFormat="1" ht="17.25" customHeight="1">
      <c r="A65" s="40"/>
      <c r="B65" s="152" t="s">
        <v>82</v>
      </c>
      <c r="C65" s="155">
        <v>58</v>
      </c>
      <c r="D65" s="156">
        <v>2</v>
      </c>
      <c r="E65" s="157" t="s">
        <v>278</v>
      </c>
      <c r="F65" s="146">
        <f t="shared" si="22"/>
        <v>-93600</v>
      </c>
      <c r="G65" s="58">
        <f t="shared" si="15"/>
        <v>0</v>
      </c>
      <c r="H65" s="58">
        <f t="shared" si="16"/>
        <v>0</v>
      </c>
      <c r="I65" s="46"/>
      <c r="J65" s="92"/>
      <c r="K65" s="160"/>
      <c r="L65" s="92"/>
      <c r="M65" s="46"/>
      <c r="N65" s="92"/>
      <c r="O65" s="84"/>
      <c r="P65" s="84"/>
      <c r="Q65" s="84"/>
      <c r="R65" s="46"/>
      <c r="S65" s="46">
        <v>-11200</v>
      </c>
      <c r="T65" s="46">
        <f t="shared" si="3"/>
        <v>0</v>
      </c>
      <c r="U65" s="84"/>
      <c r="V65" s="87"/>
      <c r="W65" s="46" t="str">
        <f t="shared" si="9"/>
        <v/>
      </c>
      <c r="X65" s="89"/>
      <c r="Y65" s="89"/>
      <c r="Z65" s="46" t="str">
        <f t="shared" si="10"/>
        <v/>
      </c>
      <c r="AA65" s="89"/>
      <c r="AB65" s="90"/>
      <c r="AC65" s="46">
        <v>-137500</v>
      </c>
      <c r="AD65" s="89">
        <v>1</v>
      </c>
      <c r="AE65" s="90"/>
      <c r="AF65" s="99">
        <v>23440</v>
      </c>
      <c r="AG65" s="90">
        <v>1</v>
      </c>
      <c r="AH65" s="46">
        <f t="shared" si="11"/>
        <v>7060</v>
      </c>
      <c r="AI65" s="90">
        <v>1</v>
      </c>
      <c r="AJ65" s="46" t="str">
        <f t="shared" si="12"/>
        <v/>
      </c>
      <c r="AK65" s="89"/>
      <c r="AL65" s="89"/>
      <c r="AM65" s="46">
        <v>24600</v>
      </c>
      <c r="AN65" s="91">
        <v>1</v>
      </c>
      <c r="AO65" s="46" t="str">
        <f t="shared" si="14"/>
        <v/>
      </c>
      <c r="AP65" s="89"/>
      <c r="AQ65" s="46" t="str">
        <f t="shared" si="17"/>
        <v/>
      </c>
      <c r="AR65" s="89"/>
      <c r="AS65" s="46" t="str">
        <f t="shared" si="18"/>
        <v/>
      </c>
      <c r="AT65" s="89"/>
      <c r="AU65" s="46" t="str">
        <f t="shared" si="19"/>
        <v/>
      </c>
      <c r="AV65" s="89"/>
      <c r="AW65" s="46" t="str">
        <f t="shared" si="20"/>
        <v/>
      </c>
      <c r="AX65" s="89"/>
      <c r="AY65" s="46"/>
      <c r="AZ65" s="143"/>
      <c r="BA65" s="46" t="str">
        <f t="shared" si="21"/>
        <v/>
      </c>
      <c r="BB65" s="143"/>
    </row>
    <row r="66" spans="1:54" s="41" customFormat="1" ht="17.25" customHeight="1">
      <c r="A66" s="40"/>
      <c r="B66" s="152" t="s">
        <v>61</v>
      </c>
      <c r="C66" s="155">
        <v>59</v>
      </c>
      <c r="D66" s="156">
        <v>2</v>
      </c>
      <c r="E66" s="157" t="s">
        <v>248</v>
      </c>
      <c r="F66" s="146">
        <f t="shared" si="22"/>
        <v>-89470</v>
      </c>
      <c r="G66" s="58">
        <f t="shared" si="15"/>
        <v>0</v>
      </c>
      <c r="H66" s="58">
        <f t="shared" si="16"/>
        <v>0</v>
      </c>
      <c r="I66" s="46"/>
      <c r="J66" s="92"/>
      <c r="K66" s="160"/>
      <c r="L66" s="92"/>
      <c r="M66" s="46"/>
      <c r="N66" s="92"/>
      <c r="O66" s="84"/>
      <c r="P66" s="84"/>
      <c r="Q66" s="84"/>
      <c r="R66" s="46"/>
      <c r="S66" s="46">
        <v>-11200</v>
      </c>
      <c r="T66" s="46">
        <f t="shared" si="3"/>
        <v>0</v>
      </c>
      <c r="U66" s="84"/>
      <c r="V66" s="87"/>
      <c r="W66" s="46" t="str">
        <f t="shared" si="9"/>
        <v/>
      </c>
      <c r="X66" s="89"/>
      <c r="Y66" s="89"/>
      <c r="Z66" s="46" t="str">
        <f t="shared" si="10"/>
        <v/>
      </c>
      <c r="AA66" s="89"/>
      <c r="AB66" s="90"/>
      <c r="AC66" s="46">
        <v>-125950</v>
      </c>
      <c r="AD66" s="89">
        <v>1</v>
      </c>
      <c r="AE66" s="90"/>
      <c r="AF66" s="99">
        <v>16020</v>
      </c>
      <c r="AG66" s="90">
        <v>1</v>
      </c>
      <c r="AH66" s="46">
        <f t="shared" si="11"/>
        <v>7060</v>
      </c>
      <c r="AI66" s="90">
        <v>1</v>
      </c>
      <c r="AJ66" s="46" t="str">
        <f t="shared" si="12"/>
        <v/>
      </c>
      <c r="AK66" s="89"/>
      <c r="AL66" s="89"/>
      <c r="AM66" s="46">
        <v>24600</v>
      </c>
      <c r="AN66" s="91">
        <v>1</v>
      </c>
      <c r="AO66" s="46" t="str">
        <f t="shared" si="14"/>
        <v/>
      </c>
      <c r="AP66" s="89"/>
      <c r="AQ66" s="46" t="str">
        <f t="shared" si="17"/>
        <v/>
      </c>
      <c r="AR66" s="89"/>
      <c r="AS66" s="46" t="str">
        <f t="shared" si="18"/>
        <v/>
      </c>
      <c r="AT66" s="89"/>
      <c r="AU66" s="46" t="str">
        <f t="shared" si="19"/>
        <v/>
      </c>
      <c r="AV66" s="89"/>
      <c r="AW66" s="46" t="str">
        <f t="shared" si="20"/>
        <v/>
      </c>
      <c r="AX66" s="89"/>
      <c r="AY66" s="46"/>
      <c r="AZ66" s="143"/>
      <c r="BA66" s="46" t="str">
        <f t="shared" si="21"/>
        <v/>
      </c>
      <c r="BB66" s="143"/>
    </row>
    <row r="67" spans="1:54" s="41" customFormat="1" ht="17.25" customHeight="1">
      <c r="A67" s="40"/>
      <c r="B67" s="152" t="s">
        <v>23</v>
      </c>
      <c r="C67" s="155">
        <v>60</v>
      </c>
      <c r="D67" s="156">
        <v>2</v>
      </c>
      <c r="E67" s="157" t="s">
        <v>245</v>
      </c>
      <c r="F67" s="146">
        <f t="shared" si="22"/>
        <v>-130630</v>
      </c>
      <c r="G67" s="58">
        <f t="shared" si="15"/>
        <v>0</v>
      </c>
      <c r="H67" s="58">
        <f t="shared" si="16"/>
        <v>0</v>
      </c>
      <c r="I67" s="46"/>
      <c r="J67" s="92"/>
      <c r="K67" s="160"/>
      <c r="L67" s="92"/>
      <c r="M67" s="46"/>
      <c r="N67" s="92"/>
      <c r="O67" s="84"/>
      <c r="P67" s="84"/>
      <c r="Q67" s="84"/>
      <c r="R67" s="46"/>
      <c r="S67" s="46">
        <v>-11200</v>
      </c>
      <c r="T67" s="46">
        <f t="shared" si="3"/>
        <v>0</v>
      </c>
      <c r="U67" s="84"/>
      <c r="V67" s="87"/>
      <c r="W67" s="46" t="str">
        <f t="shared" si="9"/>
        <v/>
      </c>
      <c r="X67" s="89"/>
      <c r="Y67" s="89"/>
      <c r="Z67" s="46" t="str">
        <f t="shared" si="10"/>
        <v/>
      </c>
      <c r="AA67" s="89"/>
      <c r="AB67" s="90"/>
      <c r="AC67" s="46">
        <v>-167110</v>
      </c>
      <c r="AD67" s="89">
        <v>1</v>
      </c>
      <c r="AE67" s="89"/>
      <c r="AF67" s="99">
        <v>16020</v>
      </c>
      <c r="AG67" s="90">
        <v>1</v>
      </c>
      <c r="AH67" s="46">
        <f t="shared" si="11"/>
        <v>7060</v>
      </c>
      <c r="AI67" s="90">
        <v>1</v>
      </c>
      <c r="AJ67" s="46" t="str">
        <f t="shared" si="12"/>
        <v/>
      </c>
      <c r="AK67" s="89"/>
      <c r="AL67" s="89"/>
      <c r="AM67" s="46">
        <v>24600</v>
      </c>
      <c r="AN67" s="91">
        <v>1</v>
      </c>
      <c r="AO67" s="46" t="str">
        <f t="shared" si="14"/>
        <v/>
      </c>
      <c r="AP67" s="89"/>
      <c r="AQ67" s="46" t="str">
        <f t="shared" si="17"/>
        <v/>
      </c>
      <c r="AR67" s="89"/>
      <c r="AS67" s="46" t="str">
        <f t="shared" si="18"/>
        <v/>
      </c>
      <c r="AT67" s="89"/>
      <c r="AU67" s="46" t="str">
        <f t="shared" si="19"/>
        <v/>
      </c>
      <c r="AV67" s="89"/>
      <c r="AW67" s="46" t="str">
        <f t="shared" si="20"/>
        <v/>
      </c>
      <c r="AX67" s="89"/>
      <c r="AY67" s="46"/>
      <c r="AZ67" s="143"/>
      <c r="BA67" s="46" t="str">
        <f t="shared" si="21"/>
        <v/>
      </c>
      <c r="BB67" s="143"/>
    </row>
    <row r="68" spans="1:54" s="41" customFormat="1" ht="17.25" customHeight="1">
      <c r="A68" s="40"/>
      <c r="B68" s="152" t="s">
        <v>88</v>
      </c>
      <c r="C68" s="155">
        <v>61</v>
      </c>
      <c r="D68" s="156">
        <v>2</v>
      </c>
      <c r="E68" s="157" t="s">
        <v>206</v>
      </c>
      <c r="F68" s="146">
        <f t="shared" si="22"/>
        <v>-104290</v>
      </c>
      <c r="G68" s="58">
        <f t="shared" si="15"/>
        <v>0</v>
      </c>
      <c r="H68" s="58">
        <f t="shared" si="16"/>
        <v>0</v>
      </c>
      <c r="I68" s="46"/>
      <c r="J68" s="92"/>
      <c r="K68" s="160"/>
      <c r="L68" s="92"/>
      <c r="M68" s="46"/>
      <c r="N68" s="92"/>
      <c r="O68" s="84"/>
      <c r="P68" s="84"/>
      <c r="Q68" s="84"/>
      <c r="R68" s="46"/>
      <c r="S68" s="46">
        <v>-11200</v>
      </c>
      <c r="T68" s="46">
        <f t="shared" si="3"/>
        <v>0</v>
      </c>
      <c r="U68" s="84"/>
      <c r="V68" s="87"/>
      <c r="W68" s="46" t="str">
        <f t="shared" si="9"/>
        <v/>
      </c>
      <c r="X68" s="89"/>
      <c r="Y68" s="89"/>
      <c r="Z68" s="46" t="str">
        <f t="shared" si="10"/>
        <v/>
      </c>
      <c r="AA68" s="89"/>
      <c r="AB68" s="90"/>
      <c r="AC68" s="46">
        <v>-141760</v>
      </c>
      <c r="AD68" s="89">
        <v>1</v>
      </c>
      <c r="AE68" s="90"/>
      <c r="AF68" s="99">
        <v>17010</v>
      </c>
      <c r="AG68" s="90">
        <v>1</v>
      </c>
      <c r="AH68" s="46">
        <f t="shared" si="11"/>
        <v>7060</v>
      </c>
      <c r="AI68" s="90">
        <v>1</v>
      </c>
      <c r="AJ68" s="46" t="str">
        <f t="shared" si="12"/>
        <v/>
      </c>
      <c r="AK68" s="89"/>
      <c r="AL68" s="89"/>
      <c r="AM68" s="46">
        <v>24600</v>
      </c>
      <c r="AN68" s="91">
        <v>1</v>
      </c>
      <c r="AO68" s="46" t="str">
        <f t="shared" si="14"/>
        <v/>
      </c>
      <c r="AP68" s="89"/>
      <c r="AQ68" s="46" t="str">
        <f t="shared" si="17"/>
        <v/>
      </c>
      <c r="AR68" s="89"/>
      <c r="AS68" s="46" t="str">
        <f t="shared" si="18"/>
        <v/>
      </c>
      <c r="AT68" s="89"/>
      <c r="AU68" s="46" t="str">
        <f t="shared" si="19"/>
        <v/>
      </c>
      <c r="AV68" s="89"/>
      <c r="AW68" s="46" t="str">
        <f t="shared" si="20"/>
        <v/>
      </c>
      <c r="AX68" s="89"/>
      <c r="AY68" s="46"/>
      <c r="AZ68" s="143"/>
      <c r="BA68" s="46" t="str">
        <f t="shared" si="21"/>
        <v/>
      </c>
      <c r="BB68" s="143"/>
    </row>
    <row r="69" spans="1:54" s="41" customFormat="1" ht="17.25" customHeight="1">
      <c r="A69" s="40"/>
      <c r="B69" s="152" t="s">
        <v>65</v>
      </c>
      <c r="C69" s="155">
        <v>62</v>
      </c>
      <c r="D69" s="156">
        <v>2</v>
      </c>
      <c r="E69" s="157" t="s">
        <v>211</v>
      </c>
      <c r="F69" s="146">
        <f t="shared" si="22"/>
        <v>1530420</v>
      </c>
      <c r="G69" s="58">
        <f t="shared" si="15"/>
        <v>0</v>
      </c>
      <c r="H69" s="58">
        <f t="shared" si="16"/>
        <v>0</v>
      </c>
      <c r="I69" s="46">
        <v>510000</v>
      </c>
      <c r="J69" s="92" t="s">
        <v>139</v>
      </c>
      <c r="K69" s="160">
        <f>232500+232500+232500</f>
        <v>697500</v>
      </c>
      <c r="L69" s="92" t="s">
        <v>130</v>
      </c>
      <c r="M69" s="46">
        <f>53800+97500+97500+97500</f>
        <v>346300</v>
      </c>
      <c r="N69" s="92" t="s">
        <v>2</v>
      </c>
      <c r="O69" s="84"/>
      <c r="P69" s="84"/>
      <c r="Q69" s="84"/>
      <c r="R69" s="46"/>
      <c r="S69" s="46">
        <v>-11200</v>
      </c>
      <c r="T69" s="46">
        <f t="shared" si="3"/>
        <v>0</v>
      </c>
      <c r="U69" s="84"/>
      <c r="V69" s="87"/>
      <c r="W69" s="46" t="str">
        <f t="shared" si="9"/>
        <v/>
      </c>
      <c r="X69" s="89"/>
      <c r="Y69" s="89"/>
      <c r="Z69" s="46">
        <f t="shared" si="10"/>
        <v>45000</v>
      </c>
      <c r="AA69" s="89">
        <v>3</v>
      </c>
      <c r="AB69" s="90" t="s">
        <v>130</v>
      </c>
      <c r="AC69" s="46">
        <v>-141760</v>
      </c>
      <c r="AD69" s="89">
        <v>1</v>
      </c>
      <c r="AE69" s="89"/>
      <c r="AF69" s="99">
        <v>16020</v>
      </c>
      <c r="AG69" s="90">
        <v>1</v>
      </c>
      <c r="AH69" s="46">
        <f t="shared" si="11"/>
        <v>7060</v>
      </c>
      <c r="AI69" s="90">
        <v>1</v>
      </c>
      <c r="AJ69" s="46" t="str">
        <f t="shared" si="12"/>
        <v/>
      </c>
      <c r="AK69" s="89"/>
      <c r="AL69" s="89"/>
      <c r="AM69" s="46">
        <v>61500</v>
      </c>
      <c r="AN69" s="91">
        <v>1</v>
      </c>
      <c r="AO69" s="46" t="str">
        <f t="shared" si="14"/>
        <v/>
      </c>
      <c r="AP69" s="89"/>
      <c r="AQ69" s="46" t="str">
        <f t="shared" si="17"/>
        <v/>
      </c>
      <c r="AR69" s="89"/>
      <c r="AS69" s="46" t="str">
        <f t="shared" si="18"/>
        <v/>
      </c>
      <c r="AT69" s="89"/>
      <c r="AU69" s="46" t="str">
        <f t="shared" si="19"/>
        <v/>
      </c>
      <c r="AV69" s="89"/>
      <c r="AW69" s="46" t="str">
        <f t="shared" si="20"/>
        <v/>
      </c>
      <c r="AX69" s="89"/>
      <c r="AY69" s="46"/>
      <c r="AZ69" s="143"/>
      <c r="BA69" s="46" t="str">
        <f t="shared" si="21"/>
        <v/>
      </c>
      <c r="BB69" s="143"/>
    </row>
    <row r="70" spans="1:54" s="41" customFormat="1" ht="17.25" customHeight="1">
      <c r="A70" s="40"/>
      <c r="B70" s="152" t="s">
        <v>90</v>
      </c>
      <c r="C70" s="155">
        <v>63</v>
      </c>
      <c r="D70" s="156">
        <v>2</v>
      </c>
      <c r="E70" s="157" t="s">
        <v>178</v>
      </c>
      <c r="F70" s="146">
        <f t="shared" si="22"/>
        <v>1823530</v>
      </c>
      <c r="G70" s="58">
        <f t="shared" si="15"/>
        <v>0</v>
      </c>
      <c r="H70" s="58">
        <f t="shared" si="16"/>
        <v>0</v>
      </c>
      <c r="I70" s="46">
        <f>418300+424500</f>
        <v>842800</v>
      </c>
      <c r="J70" s="92" t="s">
        <v>122</v>
      </c>
      <c r="K70" s="160">
        <f>232500+232500+232500</f>
        <v>697500</v>
      </c>
      <c r="L70" s="92" t="s">
        <v>130</v>
      </c>
      <c r="M70" s="46">
        <f>97500+97500+97500</f>
        <v>292500</v>
      </c>
      <c r="N70" s="92" t="s">
        <v>130</v>
      </c>
      <c r="O70" s="84"/>
      <c r="P70" s="84"/>
      <c r="Q70" s="84"/>
      <c r="R70" s="46"/>
      <c r="S70" s="46">
        <v>-11200</v>
      </c>
      <c r="T70" s="46">
        <f t="shared" si="3"/>
        <v>0</v>
      </c>
      <c r="U70" s="84"/>
      <c r="V70" s="87"/>
      <c r="W70" s="46" t="str">
        <f t="shared" si="9"/>
        <v/>
      </c>
      <c r="X70" s="89"/>
      <c r="Y70" s="89"/>
      <c r="Z70" s="46">
        <f t="shared" si="10"/>
        <v>45000</v>
      </c>
      <c r="AA70" s="89">
        <v>3</v>
      </c>
      <c r="AB70" s="90" t="s">
        <v>130</v>
      </c>
      <c r="AC70" s="46">
        <v>-127650</v>
      </c>
      <c r="AD70" s="89">
        <v>1</v>
      </c>
      <c r="AE70" s="89"/>
      <c r="AF70" s="99">
        <v>16020</v>
      </c>
      <c r="AG70" s="90">
        <v>1</v>
      </c>
      <c r="AH70" s="46">
        <f t="shared" si="11"/>
        <v>7060</v>
      </c>
      <c r="AI70" s="90">
        <v>1</v>
      </c>
      <c r="AJ70" s="46" t="str">
        <f t="shared" si="12"/>
        <v/>
      </c>
      <c r="AK70" s="89"/>
      <c r="AL70" s="89"/>
      <c r="AM70" s="46">
        <v>61500</v>
      </c>
      <c r="AN70" s="91">
        <v>1</v>
      </c>
      <c r="AO70" s="46" t="str">
        <f t="shared" si="14"/>
        <v/>
      </c>
      <c r="AP70" s="89"/>
      <c r="AQ70" s="46" t="str">
        <f t="shared" si="17"/>
        <v/>
      </c>
      <c r="AR70" s="89"/>
      <c r="AS70" s="46" t="str">
        <f t="shared" si="18"/>
        <v/>
      </c>
      <c r="AT70" s="89"/>
      <c r="AU70" s="46" t="str">
        <f t="shared" si="19"/>
        <v/>
      </c>
      <c r="AV70" s="89"/>
      <c r="AW70" s="46" t="str">
        <f t="shared" si="20"/>
        <v/>
      </c>
      <c r="AX70" s="89"/>
      <c r="AY70" s="46"/>
      <c r="AZ70" s="143"/>
      <c r="BA70" s="46" t="str">
        <f t="shared" si="21"/>
        <v/>
      </c>
      <c r="BB70" s="143"/>
    </row>
    <row r="71" spans="1:54" s="41" customFormat="1" ht="17.25" customHeight="1">
      <c r="A71" s="40"/>
      <c r="B71" s="152" t="s">
        <v>97</v>
      </c>
      <c r="C71" s="155">
        <v>64</v>
      </c>
      <c r="D71" s="156">
        <v>2</v>
      </c>
      <c r="E71" s="157" t="s">
        <v>262</v>
      </c>
      <c r="F71" s="146">
        <f t="shared" si="22"/>
        <v>-87320</v>
      </c>
      <c r="G71" s="58">
        <f t="shared" si="15"/>
        <v>0</v>
      </c>
      <c r="H71" s="58">
        <f t="shared" si="16"/>
        <v>0</v>
      </c>
      <c r="I71" s="46"/>
      <c r="J71" s="92"/>
      <c r="K71" s="160"/>
      <c r="L71" s="92"/>
      <c r="M71" s="46"/>
      <c r="N71" s="92"/>
      <c r="O71" s="84"/>
      <c r="P71" s="84"/>
      <c r="Q71" s="84"/>
      <c r="R71" s="46"/>
      <c r="S71" s="46">
        <v>-11200</v>
      </c>
      <c r="T71" s="46">
        <f t="shared" si="3"/>
        <v>0</v>
      </c>
      <c r="U71" s="84"/>
      <c r="V71" s="87"/>
      <c r="W71" s="46" t="str">
        <f t="shared" si="9"/>
        <v/>
      </c>
      <c r="X71" s="89"/>
      <c r="Y71" s="89"/>
      <c r="Z71" s="46" t="str">
        <f t="shared" si="10"/>
        <v/>
      </c>
      <c r="AA71" s="89"/>
      <c r="AB71" s="90"/>
      <c r="AC71" s="46">
        <v>-123800</v>
      </c>
      <c r="AD71" s="89">
        <v>1</v>
      </c>
      <c r="AE71" s="90"/>
      <c r="AF71" s="99">
        <v>16020</v>
      </c>
      <c r="AG71" s="90">
        <v>1</v>
      </c>
      <c r="AH71" s="46">
        <f t="shared" si="11"/>
        <v>7060</v>
      </c>
      <c r="AI71" s="90">
        <v>1</v>
      </c>
      <c r="AJ71" s="46" t="str">
        <f t="shared" si="12"/>
        <v/>
      </c>
      <c r="AK71" s="89"/>
      <c r="AL71" s="89"/>
      <c r="AM71" s="46">
        <v>24600</v>
      </c>
      <c r="AN71" s="91">
        <v>1</v>
      </c>
      <c r="AO71" s="46" t="str">
        <f t="shared" si="14"/>
        <v/>
      </c>
      <c r="AP71" s="89"/>
      <c r="AQ71" s="46" t="str">
        <f t="shared" si="17"/>
        <v/>
      </c>
      <c r="AR71" s="89"/>
      <c r="AS71" s="46" t="str">
        <f t="shared" si="18"/>
        <v/>
      </c>
      <c r="AT71" s="89"/>
      <c r="AU71" s="46" t="str">
        <f t="shared" si="19"/>
        <v/>
      </c>
      <c r="AV71" s="89"/>
      <c r="AW71" s="46" t="str">
        <f t="shared" si="20"/>
        <v/>
      </c>
      <c r="AX71" s="89"/>
      <c r="AY71" s="46"/>
      <c r="AZ71" s="143"/>
      <c r="BA71" s="46" t="str">
        <f t="shared" si="21"/>
        <v/>
      </c>
      <c r="BB71" s="143"/>
    </row>
    <row r="72" spans="1:54" s="41" customFormat="1" ht="17.25" customHeight="1">
      <c r="A72" s="40"/>
      <c r="B72" s="152" t="s">
        <v>16</v>
      </c>
      <c r="C72" s="155">
        <v>65</v>
      </c>
      <c r="D72" s="156">
        <v>2</v>
      </c>
      <c r="E72" s="157" t="s">
        <v>238</v>
      </c>
      <c r="F72" s="146">
        <f t="shared" si="22"/>
        <v>-115370</v>
      </c>
      <c r="G72" s="58">
        <f t="shared" si="15"/>
        <v>0</v>
      </c>
      <c r="H72" s="58">
        <f t="shared" si="16"/>
        <v>0</v>
      </c>
      <c r="I72" s="46"/>
      <c r="J72" s="92"/>
      <c r="K72" s="160"/>
      <c r="L72" s="92"/>
      <c r="M72" s="46"/>
      <c r="N72" s="92"/>
      <c r="O72" s="84"/>
      <c r="P72" s="84"/>
      <c r="Q72" s="84"/>
      <c r="R72" s="46"/>
      <c r="S72" s="46">
        <v>-11200</v>
      </c>
      <c r="T72" s="46">
        <f t="shared" si="3"/>
        <v>0</v>
      </c>
      <c r="U72" s="84"/>
      <c r="V72" s="87"/>
      <c r="W72" s="46" t="str">
        <f t="shared" si="9"/>
        <v/>
      </c>
      <c r="X72" s="89"/>
      <c r="Y72" s="89"/>
      <c r="Z72" s="46" t="str">
        <f t="shared" si="10"/>
        <v/>
      </c>
      <c r="AA72" s="89"/>
      <c r="AB72" s="90"/>
      <c r="AC72" s="46">
        <v>-151850</v>
      </c>
      <c r="AD72" s="89">
        <v>1</v>
      </c>
      <c r="AE72" s="89"/>
      <c r="AF72" s="99">
        <v>16020</v>
      </c>
      <c r="AG72" s="90">
        <v>1</v>
      </c>
      <c r="AH72" s="46">
        <f t="shared" si="11"/>
        <v>7060</v>
      </c>
      <c r="AI72" s="90">
        <v>1</v>
      </c>
      <c r="AJ72" s="46" t="str">
        <f t="shared" si="12"/>
        <v/>
      </c>
      <c r="AK72" s="89"/>
      <c r="AL72" s="89"/>
      <c r="AM72" s="46">
        <v>24600</v>
      </c>
      <c r="AN72" s="91">
        <v>1</v>
      </c>
      <c r="AO72" s="46" t="str">
        <f t="shared" si="14"/>
        <v/>
      </c>
      <c r="AP72" s="89"/>
      <c r="AQ72" s="46" t="str">
        <f t="shared" si="17"/>
        <v/>
      </c>
      <c r="AR72" s="89"/>
      <c r="AS72" s="46" t="str">
        <f t="shared" si="18"/>
        <v/>
      </c>
      <c r="AT72" s="89"/>
      <c r="AU72" s="46" t="str">
        <f t="shared" si="19"/>
        <v/>
      </c>
      <c r="AV72" s="89"/>
      <c r="AW72" s="46" t="str">
        <f t="shared" si="20"/>
        <v/>
      </c>
      <c r="AX72" s="89"/>
      <c r="AY72" s="46"/>
      <c r="AZ72" s="143"/>
      <c r="BA72" s="46" t="str">
        <f t="shared" si="21"/>
        <v/>
      </c>
      <c r="BB72" s="143"/>
    </row>
    <row r="73" spans="1:54" s="41" customFormat="1" ht="17.25" customHeight="1">
      <c r="A73" s="40"/>
      <c r="B73" s="152" t="s">
        <v>74</v>
      </c>
      <c r="C73" s="155">
        <v>66</v>
      </c>
      <c r="D73" s="156">
        <v>2</v>
      </c>
      <c r="E73" s="157" t="s">
        <v>260</v>
      </c>
      <c r="F73" s="146">
        <f t="shared" si="22"/>
        <v>-94280</v>
      </c>
      <c r="G73" s="58">
        <f t="shared" si="15"/>
        <v>0</v>
      </c>
      <c r="H73" s="58">
        <f t="shared" si="16"/>
        <v>0</v>
      </c>
      <c r="I73" s="46"/>
      <c r="J73" s="92"/>
      <c r="K73" s="160"/>
      <c r="L73" s="92"/>
      <c r="M73" s="46"/>
      <c r="N73" s="92"/>
      <c r="O73" s="84"/>
      <c r="P73" s="84"/>
      <c r="Q73" s="84"/>
      <c r="R73" s="46"/>
      <c r="S73" s="46"/>
      <c r="T73" s="46"/>
      <c r="U73" s="84"/>
      <c r="V73" s="87"/>
      <c r="W73" s="46" t="str">
        <f t="shared" si="9"/>
        <v/>
      </c>
      <c r="X73" s="89"/>
      <c r="Y73" s="89"/>
      <c r="Z73" s="46" t="str">
        <f t="shared" si="10"/>
        <v/>
      </c>
      <c r="AA73" s="89"/>
      <c r="AB73" s="90"/>
      <c r="AC73" s="46">
        <v>-142950</v>
      </c>
      <c r="AD73" s="89">
        <v>1</v>
      </c>
      <c r="AE73" s="90"/>
      <c r="AF73" s="99">
        <v>17010</v>
      </c>
      <c r="AG73" s="90">
        <v>1</v>
      </c>
      <c r="AH73" s="46">
        <f t="shared" si="11"/>
        <v>7060</v>
      </c>
      <c r="AI73" s="90">
        <v>1</v>
      </c>
      <c r="AJ73" s="46" t="str">
        <f t="shared" si="12"/>
        <v/>
      </c>
      <c r="AK73" s="89"/>
      <c r="AL73" s="89"/>
      <c r="AM73" s="46">
        <v>24600</v>
      </c>
      <c r="AN73" s="91">
        <v>1</v>
      </c>
      <c r="AO73" s="46" t="str">
        <f t="shared" si="14"/>
        <v/>
      </c>
      <c r="AP73" s="89"/>
      <c r="AQ73" s="46" t="str">
        <f t="shared" si="17"/>
        <v/>
      </c>
      <c r="AR73" s="89"/>
      <c r="AS73" s="46" t="str">
        <f t="shared" si="18"/>
        <v/>
      </c>
      <c r="AT73" s="89"/>
      <c r="AU73" s="46" t="str">
        <f t="shared" si="19"/>
        <v/>
      </c>
      <c r="AV73" s="89"/>
      <c r="AW73" s="46" t="str">
        <f t="shared" si="20"/>
        <v/>
      </c>
      <c r="AX73" s="89"/>
      <c r="AY73" s="46"/>
      <c r="AZ73" s="143"/>
      <c r="BA73" s="46" t="str">
        <f t="shared" si="21"/>
        <v/>
      </c>
      <c r="BB73" s="143"/>
    </row>
    <row r="74" spans="1:54" s="41" customFormat="1" ht="17.25" customHeight="1">
      <c r="A74" s="40"/>
      <c r="B74" s="152" t="s">
        <v>98</v>
      </c>
      <c r="C74" s="155">
        <v>67</v>
      </c>
      <c r="D74" s="156">
        <v>2</v>
      </c>
      <c r="E74" s="157" t="s">
        <v>235</v>
      </c>
      <c r="F74" s="146">
        <f t="shared" si="22"/>
        <v>-98760</v>
      </c>
      <c r="G74" s="58">
        <f t="shared" si="15"/>
        <v>0</v>
      </c>
      <c r="H74" s="58">
        <f t="shared" si="16"/>
        <v>0</v>
      </c>
      <c r="I74" s="46"/>
      <c r="J74" s="92"/>
      <c r="K74" s="160"/>
      <c r="L74" s="92"/>
      <c r="M74" s="46"/>
      <c r="N74" s="92"/>
      <c r="O74" s="84"/>
      <c r="P74" s="84"/>
      <c r="Q74" s="84"/>
      <c r="R74" s="46"/>
      <c r="S74" s="46">
        <v>-11200</v>
      </c>
      <c r="T74" s="46">
        <f t="shared" si="3"/>
        <v>0</v>
      </c>
      <c r="U74" s="84"/>
      <c r="V74" s="87"/>
      <c r="W74" s="46" t="str">
        <f t="shared" si="9"/>
        <v/>
      </c>
      <c r="X74" s="89"/>
      <c r="Y74" s="89"/>
      <c r="Z74" s="46" t="str">
        <f t="shared" si="10"/>
        <v/>
      </c>
      <c r="AA74" s="89"/>
      <c r="AB74" s="90"/>
      <c r="AC74" s="46">
        <v>-142660</v>
      </c>
      <c r="AD74" s="89">
        <v>1</v>
      </c>
      <c r="AE74" s="90"/>
      <c r="AF74" s="99">
        <v>23440</v>
      </c>
      <c r="AG74" s="90">
        <v>1</v>
      </c>
      <c r="AH74" s="46">
        <f t="shared" si="11"/>
        <v>7060</v>
      </c>
      <c r="AI74" s="90">
        <v>1</v>
      </c>
      <c r="AJ74" s="46" t="str">
        <f t="shared" si="12"/>
        <v/>
      </c>
      <c r="AK74" s="89"/>
      <c r="AL74" s="89"/>
      <c r="AM74" s="46">
        <v>24600</v>
      </c>
      <c r="AN74" s="91">
        <v>1</v>
      </c>
      <c r="AO74" s="46" t="str">
        <f t="shared" si="14"/>
        <v/>
      </c>
      <c r="AP74" s="89"/>
      <c r="AQ74" s="46" t="str">
        <f t="shared" si="17"/>
        <v/>
      </c>
      <c r="AR74" s="89"/>
      <c r="AS74" s="46" t="str">
        <f t="shared" si="18"/>
        <v/>
      </c>
      <c r="AT74" s="89"/>
      <c r="AU74" s="46" t="str">
        <f t="shared" si="19"/>
        <v/>
      </c>
      <c r="AV74" s="89"/>
      <c r="AW74" s="46" t="str">
        <f t="shared" si="20"/>
        <v/>
      </c>
      <c r="AX74" s="89"/>
      <c r="AY74" s="46"/>
      <c r="AZ74" s="143"/>
      <c r="BA74" s="46" t="str">
        <f t="shared" si="21"/>
        <v/>
      </c>
      <c r="BB74" s="143"/>
    </row>
    <row r="75" spans="1:54" s="41" customFormat="1" ht="17.25" customHeight="1">
      <c r="A75" s="40"/>
      <c r="B75" s="152" t="s">
        <v>81</v>
      </c>
      <c r="C75" s="155">
        <v>68</v>
      </c>
      <c r="D75" s="156">
        <v>2</v>
      </c>
      <c r="E75" s="157" t="s">
        <v>22</v>
      </c>
      <c r="F75" s="146">
        <f t="shared" si="22"/>
        <v>-104290</v>
      </c>
      <c r="G75" s="58">
        <f t="shared" si="15"/>
        <v>0</v>
      </c>
      <c r="H75" s="58">
        <f t="shared" si="16"/>
        <v>0</v>
      </c>
      <c r="I75" s="46"/>
      <c r="J75" s="92"/>
      <c r="K75" s="160"/>
      <c r="L75" s="92"/>
      <c r="M75" s="46"/>
      <c r="N75" s="92"/>
      <c r="O75" s="84"/>
      <c r="P75" s="84"/>
      <c r="Q75" s="84"/>
      <c r="R75" s="46"/>
      <c r="S75" s="46">
        <v>-11200</v>
      </c>
      <c r="T75" s="46">
        <f t="shared" si="3"/>
        <v>0</v>
      </c>
      <c r="U75" s="84"/>
      <c r="V75" s="87"/>
      <c r="W75" s="46" t="str">
        <f t="shared" si="9"/>
        <v/>
      </c>
      <c r="X75" s="89"/>
      <c r="Y75" s="89"/>
      <c r="Z75" s="46" t="str">
        <f t="shared" si="10"/>
        <v/>
      </c>
      <c r="AA75" s="89"/>
      <c r="AB75" s="90"/>
      <c r="AC75" s="46">
        <v>-141760</v>
      </c>
      <c r="AD75" s="89">
        <v>1</v>
      </c>
      <c r="AE75" s="90"/>
      <c r="AF75" s="99">
        <v>17010</v>
      </c>
      <c r="AG75" s="90">
        <v>1</v>
      </c>
      <c r="AH75" s="46">
        <f t="shared" si="11"/>
        <v>7060</v>
      </c>
      <c r="AI75" s="90">
        <v>1</v>
      </c>
      <c r="AJ75" s="46" t="str">
        <f t="shared" si="12"/>
        <v/>
      </c>
      <c r="AK75" s="89"/>
      <c r="AL75" s="89"/>
      <c r="AM75" s="46">
        <v>24600</v>
      </c>
      <c r="AN75" s="91">
        <v>1</v>
      </c>
      <c r="AO75" s="46" t="str">
        <f t="shared" si="14"/>
        <v/>
      </c>
      <c r="AP75" s="89"/>
      <c r="AQ75" s="46" t="str">
        <f t="shared" si="17"/>
        <v/>
      </c>
      <c r="AR75" s="89"/>
      <c r="AS75" s="46" t="str">
        <f t="shared" si="18"/>
        <v/>
      </c>
      <c r="AT75" s="89"/>
      <c r="AU75" s="46" t="str">
        <f t="shared" si="19"/>
        <v/>
      </c>
      <c r="AV75" s="89"/>
      <c r="AW75" s="46" t="str">
        <f t="shared" si="20"/>
        <v/>
      </c>
      <c r="AX75" s="89"/>
      <c r="AY75" s="46"/>
      <c r="AZ75" s="143"/>
      <c r="BA75" s="46" t="str">
        <f t="shared" si="21"/>
        <v/>
      </c>
      <c r="BB75" s="143"/>
    </row>
    <row r="76" spans="1:54" s="41" customFormat="1" ht="17.25" customHeight="1">
      <c r="A76" s="40"/>
      <c r="B76" s="152" t="s">
        <v>52</v>
      </c>
      <c r="C76" s="155">
        <v>69</v>
      </c>
      <c r="D76" s="156">
        <v>2</v>
      </c>
      <c r="E76" s="157" t="s">
        <v>215</v>
      </c>
      <c r="F76" s="146">
        <f t="shared" si="22"/>
        <v>-105190</v>
      </c>
      <c r="G76" s="58">
        <f t="shared" si="15"/>
        <v>0</v>
      </c>
      <c r="H76" s="58">
        <f t="shared" si="16"/>
        <v>0</v>
      </c>
      <c r="I76" s="46"/>
      <c r="J76" s="92"/>
      <c r="K76" s="160"/>
      <c r="L76" s="92"/>
      <c r="M76" s="46"/>
      <c r="N76" s="92"/>
      <c r="O76" s="84"/>
      <c r="P76" s="84"/>
      <c r="Q76" s="84"/>
      <c r="R76" s="46"/>
      <c r="S76" s="46">
        <v>-11200</v>
      </c>
      <c r="T76" s="46">
        <f t="shared" si="3"/>
        <v>0</v>
      </c>
      <c r="U76" s="84"/>
      <c r="V76" s="87"/>
      <c r="W76" s="46" t="str">
        <f t="shared" si="9"/>
        <v/>
      </c>
      <c r="X76" s="89"/>
      <c r="Y76" s="89"/>
      <c r="Z76" s="46" t="str">
        <f t="shared" si="10"/>
        <v/>
      </c>
      <c r="AA76" s="89"/>
      <c r="AB76" s="90"/>
      <c r="AC76" s="46">
        <v>-142660</v>
      </c>
      <c r="AD76" s="89">
        <v>1</v>
      </c>
      <c r="AE76" s="90"/>
      <c r="AF76" s="99">
        <v>17010</v>
      </c>
      <c r="AG76" s="90">
        <v>1</v>
      </c>
      <c r="AH76" s="46">
        <f t="shared" si="11"/>
        <v>7060</v>
      </c>
      <c r="AI76" s="90">
        <v>1</v>
      </c>
      <c r="AJ76" s="46" t="str">
        <f t="shared" si="12"/>
        <v/>
      </c>
      <c r="AK76" s="89"/>
      <c r="AL76" s="89"/>
      <c r="AM76" s="46">
        <v>24600</v>
      </c>
      <c r="AN76" s="91">
        <v>1</v>
      </c>
      <c r="AO76" s="46" t="str">
        <f t="shared" si="14"/>
        <v/>
      </c>
      <c r="AP76" s="89"/>
      <c r="AQ76" s="46" t="str">
        <f t="shared" si="17"/>
        <v/>
      </c>
      <c r="AR76" s="89"/>
      <c r="AS76" s="46" t="str">
        <f t="shared" si="18"/>
        <v/>
      </c>
      <c r="AT76" s="89"/>
      <c r="AU76" s="46" t="str">
        <f t="shared" si="19"/>
        <v/>
      </c>
      <c r="AV76" s="89"/>
      <c r="AW76" s="46" t="str">
        <f t="shared" si="20"/>
        <v/>
      </c>
      <c r="AX76" s="89"/>
      <c r="AY76" s="46"/>
      <c r="AZ76" s="143"/>
      <c r="BA76" s="46" t="str">
        <f t="shared" si="21"/>
        <v/>
      </c>
      <c r="BB76" s="143"/>
    </row>
    <row r="77" spans="1:54" s="41" customFormat="1" ht="17.25" customHeight="1">
      <c r="A77" s="40"/>
      <c r="B77" s="152" t="s">
        <v>110</v>
      </c>
      <c r="C77" s="155">
        <v>70</v>
      </c>
      <c r="D77" s="156">
        <v>2</v>
      </c>
      <c r="E77" s="157" t="s">
        <v>195</v>
      </c>
      <c r="F77" s="146">
        <f t="shared" si="22"/>
        <v>-87320</v>
      </c>
      <c r="G77" s="58">
        <f t="shared" si="15"/>
        <v>0</v>
      </c>
      <c r="H77" s="58">
        <f t="shared" si="16"/>
        <v>0</v>
      </c>
      <c r="I77" s="46"/>
      <c r="J77" s="92"/>
      <c r="K77" s="160"/>
      <c r="L77" s="92"/>
      <c r="M77" s="46"/>
      <c r="N77" s="92"/>
      <c r="O77" s="84"/>
      <c r="P77" s="84"/>
      <c r="Q77" s="84"/>
      <c r="R77" s="46"/>
      <c r="S77" s="46">
        <v>-11200</v>
      </c>
      <c r="T77" s="46">
        <f t="shared" si="3"/>
        <v>0</v>
      </c>
      <c r="U77" s="84"/>
      <c r="V77" s="87"/>
      <c r="W77" s="46" t="str">
        <f t="shared" si="9"/>
        <v/>
      </c>
      <c r="X77" s="89"/>
      <c r="Y77" s="89"/>
      <c r="Z77" s="46" t="str">
        <f t="shared" si="10"/>
        <v/>
      </c>
      <c r="AA77" s="89"/>
      <c r="AB77" s="90"/>
      <c r="AC77" s="46">
        <v>-123800</v>
      </c>
      <c r="AD77" s="89">
        <v>1</v>
      </c>
      <c r="AE77" s="89"/>
      <c r="AF77" s="99">
        <v>16020</v>
      </c>
      <c r="AG77" s="90">
        <v>1</v>
      </c>
      <c r="AH77" s="46">
        <f t="shared" si="11"/>
        <v>7060</v>
      </c>
      <c r="AI77" s="90">
        <v>1</v>
      </c>
      <c r="AJ77" s="46" t="str">
        <f t="shared" si="12"/>
        <v/>
      </c>
      <c r="AK77" s="89"/>
      <c r="AL77" s="89"/>
      <c r="AM77" s="46">
        <v>24600</v>
      </c>
      <c r="AN77" s="91">
        <v>1</v>
      </c>
      <c r="AO77" s="46" t="str">
        <f t="shared" si="14"/>
        <v/>
      </c>
      <c r="AP77" s="89"/>
      <c r="AQ77" s="46" t="str">
        <f t="shared" si="17"/>
        <v/>
      </c>
      <c r="AR77" s="89"/>
      <c r="AS77" s="46" t="str">
        <f t="shared" si="18"/>
        <v/>
      </c>
      <c r="AT77" s="89"/>
      <c r="AU77" s="46" t="str">
        <f t="shared" si="19"/>
        <v/>
      </c>
      <c r="AV77" s="89"/>
      <c r="AW77" s="46" t="str">
        <f t="shared" si="20"/>
        <v/>
      </c>
      <c r="AX77" s="89"/>
      <c r="AY77" s="46"/>
      <c r="AZ77" s="143"/>
      <c r="BA77" s="46" t="str">
        <f t="shared" si="21"/>
        <v/>
      </c>
      <c r="BB77" s="143"/>
    </row>
    <row r="78" spans="1:54" s="41" customFormat="1" ht="17.25" customHeight="1">
      <c r="A78" s="40"/>
      <c r="B78" s="152" t="s">
        <v>75</v>
      </c>
      <c r="C78" s="155">
        <v>71</v>
      </c>
      <c r="D78" s="156">
        <v>2</v>
      </c>
      <c r="E78" s="157" t="s">
        <v>255</v>
      </c>
      <c r="F78" s="146">
        <f t="shared" si="22"/>
        <v>-117520</v>
      </c>
      <c r="G78" s="58">
        <f t="shared" si="15"/>
        <v>0</v>
      </c>
      <c r="H78" s="58">
        <f t="shared" si="16"/>
        <v>0</v>
      </c>
      <c r="I78" s="46"/>
      <c r="J78" s="92"/>
      <c r="K78" s="160"/>
      <c r="L78" s="92"/>
      <c r="M78" s="46"/>
      <c r="N78" s="92"/>
      <c r="O78" s="84"/>
      <c r="P78" s="84"/>
      <c r="Q78" s="84"/>
      <c r="R78" s="46"/>
      <c r="S78" s="46">
        <v>-11200</v>
      </c>
      <c r="T78" s="46">
        <f t="shared" si="3"/>
        <v>0</v>
      </c>
      <c r="U78" s="84"/>
      <c r="V78" s="87"/>
      <c r="W78" s="46" t="str">
        <f t="shared" si="9"/>
        <v/>
      </c>
      <c r="X78" s="89"/>
      <c r="Y78" s="89"/>
      <c r="Z78" s="46" t="str">
        <f t="shared" si="10"/>
        <v/>
      </c>
      <c r="AA78" s="89"/>
      <c r="AB78" s="90"/>
      <c r="AC78" s="46">
        <v>-154000</v>
      </c>
      <c r="AD78" s="89">
        <v>1</v>
      </c>
      <c r="AE78" s="90"/>
      <c r="AF78" s="99">
        <v>16020</v>
      </c>
      <c r="AG78" s="90">
        <v>1</v>
      </c>
      <c r="AH78" s="46">
        <f t="shared" si="11"/>
        <v>7060</v>
      </c>
      <c r="AI78" s="90">
        <v>1</v>
      </c>
      <c r="AJ78" s="46" t="str">
        <f t="shared" si="12"/>
        <v/>
      </c>
      <c r="AK78" s="89"/>
      <c r="AL78" s="89"/>
      <c r="AM78" s="46">
        <v>24600</v>
      </c>
      <c r="AN78" s="91">
        <v>1</v>
      </c>
      <c r="AO78" s="46" t="str">
        <f t="shared" si="14"/>
        <v/>
      </c>
      <c r="AP78" s="89"/>
      <c r="AQ78" s="46" t="str">
        <f t="shared" si="17"/>
        <v/>
      </c>
      <c r="AR78" s="89"/>
      <c r="AS78" s="46" t="str">
        <f t="shared" si="18"/>
        <v/>
      </c>
      <c r="AT78" s="89"/>
      <c r="AU78" s="46" t="str">
        <f t="shared" si="19"/>
        <v/>
      </c>
      <c r="AV78" s="89"/>
      <c r="AW78" s="46" t="str">
        <f t="shared" si="20"/>
        <v/>
      </c>
      <c r="AX78" s="89"/>
      <c r="AY78" s="46"/>
      <c r="AZ78" s="143"/>
      <c r="BA78" s="46" t="str">
        <f t="shared" si="21"/>
        <v/>
      </c>
      <c r="BB78" s="143"/>
    </row>
    <row r="79" spans="1:54" s="41" customFormat="1" ht="17.25" customHeight="1">
      <c r="A79" s="40"/>
      <c r="B79" s="152" t="s">
        <v>129</v>
      </c>
      <c r="C79" s="155">
        <v>72</v>
      </c>
      <c r="D79" s="156">
        <v>2</v>
      </c>
      <c r="E79" s="157" t="s">
        <v>187</v>
      </c>
      <c r="F79" s="146">
        <f t="shared" si="22"/>
        <v>-89470</v>
      </c>
      <c r="G79" s="58">
        <f t="shared" si="15"/>
        <v>0</v>
      </c>
      <c r="H79" s="58">
        <f t="shared" si="16"/>
        <v>0</v>
      </c>
      <c r="I79" s="46"/>
      <c r="J79" s="92"/>
      <c r="K79" s="160"/>
      <c r="L79" s="92"/>
      <c r="M79" s="46"/>
      <c r="N79" s="92"/>
      <c r="O79" s="84"/>
      <c r="P79" s="84"/>
      <c r="Q79" s="84"/>
      <c r="R79" s="46"/>
      <c r="S79" s="46">
        <v>-11200</v>
      </c>
      <c r="T79" s="46">
        <f t="shared" si="3"/>
        <v>0</v>
      </c>
      <c r="U79" s="84"/>
      <c r="V79" s="87"/>
      <c r="W79" s="46" t="str">
        <f t="shared" si="9"/>
        <v/>
      </c>
      <c r="X79" s="89"/>
      <c r="Y79" s="89"/>
      <c r="Z79" s="46" t="str">
        <f t="shared" si="10"/>
        <v/>
      </c>
      <c r="AA79" s="89"/>
      <c r="AB79" s="90"/>
      <c r="AC79" s="46">
        <v>-125950</v>
      </c>
      <c r="AD79" s="89">
        <v>1</v>
      </c>
      <c r="AE79" s="90"/>
      <c r="AF79" s="99">
        <v>16020</v>
      </c>
      <c r="AG79" s="90">
        <v>1</v>
      </c>
      <c r="AH79" s="46">
        <f t="shared" si="11"/>
        <v>7060</v>
      </c>
      <c r="AI79" s="90">
        <v>1</v>
      </c>
      <c r="AJ79" s="46" t="str">
        <f t="shared" si="12"/>
        <v/>
      </c>
      <c r="AK79" s="89"/>
      <c r="AL79" s="89"/>
      <c r="AM79" s="46">
        <v>24600</v>
      </c>
      <c r="AN79" s="91">
        <v>1</v>
      </c>
      <c r="AO79" s="46" t="str">
        <f t="shared" si="14"/>
        <v/>
      </c>
      <c r="AP79" s="89"/>
      <c r="AQ79" s="46" t="str">
        <f t="shared" si="17"/>
        <v/>
      </c>
      <c r="AR79" s="89"/>
      <c r="AS79" s="46" t="str">
        <f t="shared" si="18"/>
        <v/>
      </c>
      <c r="AT79" s="89"/>
      <c r="AU79" s="46" t="str">
        <f t="shared" si="19"/>
        <v/>
      </c>
      <c r="AV79" s="89"/>
      <c r="AW79" s="46" t="str">
        <f t="shared" si="20"/>
        <v/>
      </c>
      <c r="AX79" s="89"/>
      <c r="AY79" s="46"/>
      <c r="AZ79" s="143"/>
      <c r="BA79" s="46" t="str">
        <f t="shared" si="21"/>
        <v/>
      </c>
      <c r="BB79" s="143"/>
    </row>
    <row r="80" spans="1:54" s="41" customFormat="1" ht="17.25" customHeight="1">
      <c r="A80" s="40"/>
      <c r="B80" s="152" t="s">
        <v>118</v>
      </c>
      <c r="C80" s="155">
        <v>73</v>
      </c>
      <c r="D80" s="156">
        <v>2</v>
      </c>
      <c r="E80" s="157" t="s">
        <v>280</v>
      </c>
      <c r="F80" s="146">
        <f t="shared" si="22"/>
        <v>-90180</v>
      </c>
      <c r="G80" s="58">
        <f t="shared" si="15"/>
        <v>0</v>
      </c>
      <c r="H80" s="58">
        <f t="shared" si="16"/>
        <v>0</v>
      </c>
      <c r="I80" s="46"/>
      <c r="J80" s="92"/>
      <c r="K80" s="160"/>
      <c r="L80" s="92"/>
      <c r="M80" s="46"/>
      <c r="N80" s="92"/>
      <c r="O80" s="84"/>
      <c r="P80" s="84"/>
      <c r="Q80" s="84"/>
      <c r="R80" s="46"/>
      <c r="S80" s="46">
        <v>-11200</v>
      </c>
      <c r="T80" s="46">
        <f t="shared" si="3"/>
        <v>0</v>
      </c>
      <c r="U80" s="84"/>
      <c r="V80" s="87"/>
      <c r="W80" s="46" t="str">
        <f t="shared" si="9"/>
        <v/>
      </c>
      <c r="X80" s="89"/>
      <c r="Y80" s="89"/>
      <c r="Z80" s="46" t="str">
        <f t="shared" si="10"/>
        <v/>
      </c>
      <c r="AA80" s="89"/>
      <c r="AB80" s="90"/>
      <c r="AC80" s="46">
        <v>-127650</v>
      </c>
      <c r="AD80" s="89">
        <v>1</v>
      </c>
      <c r="AE80" s="89"/>
      <c r="AF80" s="99">
        <v>17010</v>
      </c>
      <c r="AG80" s="90">
        <v>1</v>
      </c>
      <c r="AH80" s="46">
        <f t="shared" si="11"/>
        <v>7060</v>
      </c>
      <c r="AI80" s="90">
        <v>1</v>
      </c>
      <c r="AJ80" s="46" t="str">
        <f t="shared" si="12"/>
        <v/>
      </c>
      <c r="AK80" s="89"/>
      <c r="AL80" s="89"/>
      <c r="AM80" s="46">
        <v>24600</v>
      </c>
      <c r="AN80" s="91">
        <v>1</v>
      </c>
      <c r="AO80" s="46" t="str">
        <f t="shared" si="14"/>
        <v/>
      </c>
      <c r="AP80" s="89"/>
      <c r="AQ80" s="46" t="str">
        <f t="shared" si="17"/>
        <v/>
      </c>
      <c r="AR80" s="89"/>
      <c r="AS80" s="46" t="str">
        <f t="shared" si="18"/>
        <v/>
      </c>
      <c r="AT80" s="89"/>
      <c r="AU80" s="46" t="str">
        <f t="shared" si="19"/>
        <v/>
      </c>
      <c r="AV80" s="89"/>
      <c r="AW80" s="46" t="str">
        <f t="shared" si="20"/>
        <v/>
      </c>
      <c r="AX80" s="89"/>
      <c r="AY80" s="46"/>
      <c r="AZ80" s="143"/>
      <c r="BA80" s="46" t="str">
        <f t="shared" ref="BA80:BA121" si="23">IF(ISNUMBER(BB80),BB80*$BA$3,"")</f>
        <v/>
      </c>
      <c r="BB80" s="143"/>
    </row>
    <row r="81" spans="1:54" s="41" customFormat="1" ht="17.25" customHeight="1">
      <c r="A81" s="40"/>
      <c r="B81" s="152" t="s">
        <v>92</v>
      </c>
      <c r="C81" s="155">
        <v>74</v>
      </c>
      <c r="D81" s="156">
        <v>2</v>
      </c>
      <c r="E81" s="157" t="s">
        <v>251</v>
      </c>
      <c r="F81" s="146">
        <f t="shared" si="22"/>
        <v>-18830</v>
      </c>
      <c r="G81" s="58">
        <f t="shared" si="15"/>
        <v>0</v>
      </c>
      <c r="H81" s="58">
        <f t="shared" si="16"/>
        <v>0</v>
      </c>
      <c r="I81" s="46"/>
      <c r="J81" s="92"/>
      <c r="K81" s="160"/>
      <c r="L81" s="92"/>
      <c r="M81" s="46">
        <v>97500</v>
      </c>
      <c r="N81" s="92" t="s">
        <v>128</v>
      </c>
      <c r="O81" s="84"/>
      <c r="P81" s="84"/>
      <c r="Q81" s="84"/>
      <c r="R81" s="46"/>
      <c r="S81" s="46">
        <v>-11200</v>
      </c>
      <c r="T81" s="46">
        <f t="shared" si="3"/>
        <v>0</v>
      </c>
      <c r="U81" s="84"/>
      <c r="V81" s="87"/>
      <c r="W81" s="46" t="str">
        <f t="shared" si="9"/>
        <v/>
      </c>
      <c r="X81" s="89"/>
      <c r="Y81" s="89"/>
      <c r="Z81" s="46" t="str">
        <f t="shared" si="10"/>
        <v/>
      </c>
      <c r="AA81" s="89"/>
      <c r="AB81" s="90"/>
      <c r="AC81" s="46">
        <v>-152810</v>
      </c>
      <c r="AD81" s="89">
        <v>1</v>
      </c>
      <c r="AE81" s="89"/>
      <c r="AF81" s="99">
        <v>16020</v>
      </c>
      <c r="AG81" s="90">
        <v>1</v>
      </c>
      <c r="AH81" s="46">
        <f t="shared" si="11"/>
        <v>7060</v>
      </c>
      <c r="AI81" s="90">
        <v>1</v>
      </c>
      <c r="AJ81" s="46" t="str">
        <f t="shared" si="12"/>
        <v/>
      </c>
      <c r="AK81" s="89"/>
      <c r="AL81" s="89"/>
      <c r="AM81" s="46">
        <v>24600</v>
      </c>
      <c r="AN81" s="91">
        <v>1</v>
      </c>
      <c r="AO81" s="46" t="str">
        <f t="shared" si="14"/>
        <v/>
      </c>
      <c r="AP81" s="89"/>
      <c r="AQ81" s="46" t="str">
        <f t="shared" si="17"/>
        <v/>
      </c>
      <c r="AR81" s="89"/>
      <c r="AS81" s="46" t="str">
        <f t="shared" si="18"/>
        <v/>
      </c>
      <c r="AT81" s="89"/>
      <c r="AU81" s="46" t="str">
        <f t="shared" si="19"/>
        <v/>
      </c>
      <c r="AV81" s="89"/>
      <c r="AW81" s="46" t="str">
        <f t="shared" si="20"/>
        <v/>
      </c>
      <c r="AX81" s="89"/>
      <c r="AY81" s="46"/>
      <c r="AZ81" s="143"/>
      <c r="BA81" s="46" t="str">
        <f t="shared" si="23"/>
        <v/>
      </c>
      <c r="BB81" s="143"/>
    </row>
    <row r="82" spans="1:54" s="41" customFormat="1" ht="17.25" customHeight="1">
      <c r="A82" s="40"/>
      <c r="B82" s="152" t="s">
        <v>101</v>
      </c>
      <c r="C82" s="155">
        <v>75</v>
      </c>
      <c r="D82" s="156">
        <v>2</v>
      </c>
      <c r="E82" s="157" t="s">
        <v>271</v>
      </c>
      <c r="F82" s="146">
        <f t="shared" si="22"/>
        <v>1050920</v>
      </c>
      <c r="G82" s="58">
        <f t="shared" si="15"/>
        <v>0</v>
      </c>
      <c r="H82" s="58">
        <f t="shared" si="16"/>
        <v>0</v>
      </c>
      <c r="I82" s="46">
        <v>424500</v>
      </c>
      <c r="J82" s="92" t="s">
        <v>139</v>
      </c>
      <c r="K82" s="160">
        <f>232500+232500</f>
        <v>465000</v>
      </c>
      <c r="L82" s="92" t="s">
        <v>120</v>
      </c>
      <c r="M82" s="46">
        <f>97500+97500</f>
        <v>195000</v>
      </c>
      <c r="N82" s="92" t="s">
        <v>120</v>
      </c>
      <c r="O82" s="84"/>
      <c r="P82" s="84"/>
      <c r="Q82" s="84"/>
      <c r="R82" s="46"/>
      <c r="S82" s="46">
        <v>-11200</v>
      </c>
      <c r="T82" s="46">
        <f t="shared" si="3"/>
        <v>0</v>
      </c>
      <c r="U82" s="84"/>
      <c r="V82" s="87"/>
      <c r="W82" s="46">
        <f t="shared" si="9"/>
        <v>5000</v>
      </c>
      <c r="X82" s="89">
        <v>1</v>
      </c>
      <c r="Y82" s="89" t="s">
        <v>141</v>
      </c>
      <c r="Z82" s="46">
        <f t="shared" si="10"/>
        <v>30000</v>
      </c>
      <c r="AA82" s="89">
        <v>2</v>
      </c>
      <c r="AB82" s="90" t="s">
        <v>120</v>
      </c>
      <c r="AC82" s="46">
        <v>-142950</v>
      </c>
      <c r="AD82" s="89">
        <v>1</v>
      </c>
      <c r="AE82" s="89"/>
      <c r="AF82" s="99">
        <v>17010</v>
      </c>
      <c r="AG82" s="90">
        <v>1</v>
      </c>
      <c r="AH82" s="46">
        <f t="shared" si="11"/>
        <v>7060</v>
      </c>
      <c r="AI82" s="90">
        <v>1</v>
      </c>
      <c r="AJ82" s="46" t="str">
        <f t="shared" si="12"/>
        <v/>
      </c>
      <c r="AK82" s="89"/>
      <c r="AL82" s="89"/>
      <c r="AM82" s="46">
        <v>61500</v>
      </c>
      <c r="AN82" s="91">
        <v>1</v>
      </c>
      <c r="AO82" s="46" t="str">
        <f t="shared" si="14"/>
        <v/>
      </c>
      <c r="AP82" s="89"/>
      <c r="AQ82" s="46" t="str">
        <f t="shared" si="17"/>
        <v/>
      </c>
      <c r="AR82" s="89"/>
      <c r="AS82" s="46" t="str">
        <f t="shared" si="18"/>
        <v/>
      </c>
      <c r="AT82" s="89"/>
      <c r="AU82" s="46" t="str">
        <f t="shared" si="19"/>
        <v/>
      </c>
      <c r="AV82" s="89"/>
      <c r="AW82" s="46" t="str">
        <f t="shared" si="20"/>
        <v/>
      </c>
      <c r="AX82" s="89"/>
      <c r="AY82" s="46"/>
      <c r="AZ82" s="143"/>
      <c r="BA82" s="46" t="str">
        <f t="shared" si="23"/>
        <v/>
      </c>
      <c r="BB82" s="143"/>
    </row>
    <row r="83" spans="1:54" s="41" customFormat="1" ht="17.25" customHeight="1">
      <c r="A83" s="40"/>
      <c r="B83" s="152" t="s">
        <v>39</v>
      </c>
      <c r="C83" s="155">
        <v>76</v>
      </c>
      <c r="D83" s="156">
        <v>2</v>
      </c>
      <c r="E83" s="157" t="s">
        <v>230</v>
      </c>
      <c r="F83" s="146">
        <f t="shared" si="22"/>
        <v>-105190</v>
      </c>
      <c r="G83" s="58">
        <f t="shared" si="15"/>
        <v>0</v>
      </c>
      <c r="H83" s="58">
        <f t="shared" si="16"/>
        <v>0</v>
      </c>
      <c r="I83" s="46"/>
      <c r="J83" s="92"/>
      <c r="K83" s="160"/>
      <c r="L83" s="92"/>
      <c r="M83" s="46"/>
      <c r="N83" s="92"/>
      <c r="O83" s="84"/>
      <c r="P83" s="84"/>
      <c r="Q83" s="84"/>
      <c r="R83" s="46"/>
      <c r="S83" s="46">
        <v>-11200</v>
      </c>
      <c r="T83" s="46">
        <f t="shared" si="3"/>
        <v>0</v>
      </c>
      <c r="U83" s="84"/>
      <c r="V83" s="87"/>
      <c r="W83" s="46" t="str">
        <f t="shared" si="9"/>
        <v/>
      </c>
      <c r="X83" s="89"/>
      <c r="Y83" s="89"/>
      <c r="Z83" s="46" t="str">
        <f t="shared" si="10"/>
        <v/>
      </c>
      <c r="AA83" s="89"/>
      <c r="AB83" s="90"/>
      <c r="AC83" s="46">
        <v>-142660</v>
      </c>
      <c r="AD83" s="89">
        <v>1</v>
      </c>
      <c r="AE83" s="90"/>
      <c r="AF83" s="99">
        <v>17010</v>
      </c>
      <c r="AG83" s="90">
        <v>1</v>
      </c>
      <c r="AH83" s="46">
        <f t="shared" si="11"/>
        <v>7060</v>
      </c>
      <c r="AI83" s="90">
        <v>1</v>
      </c>
      <c r="AJ83" s="46" t="str">
        <f t="shared" si="12"/>
        <v/>
      </c>
      <c r="AK83" s="89"/>
      <c r="AL83" s="89"/>
      <c r="AM83" s="46">
        <v>24600</v>
      </c>
      <c r="AN83" s="91">
        <v>1</v>
      </c>
      <c r="AO83" s="46" t="str">
        <f t="shared" si="14"/>
        <v/>
      </c>
      <c r="AP83" s="89"/>
      <c r="AQ83" s="46" t="str">
        <f t="shared" si="17"/>
        <v/>
      </c>
      <c r="AR83" s="89"/>
      <c r="AS83" s="46" t="str">
        <f t="shared" si="18"/>
        <v/>
      </c>
      <c r="AT83" s="89"/>
      <c r="AU83" s="46" t="str">
        <f t="shared" si="19"/>
        <v/>
      </c>
      <c r="AV83" s="89"/>
      <c r="AW83" s="46" t="str">
        <f t="shared" si="20"/>
        <v/>
      </c>
      <c r="AX83" s="89"/>
      <c r="AY83" s="46"/>
      <c r="AZ83" s="143"/>
      <c r="BA83" s="46" t="str">
        <f t="shared" si="23"/>
        <v/>
      </c>
      <c r="BB83" s="143"/>
    </row>
    <row r="84" spans="1:54" s="41" customFormat="1" ht="17.25" customHeight="1">
      <c r="A84" s="40"/>
      <c r="B84" s="152" t="s">
        <v>66</v>
      </c>
      <c r="C84" s="155">
        <v>77</v>
      </c>
      <c r="D84" s="156">
        <v>2</v>
      </c>
      <c r="E84" s="157" t="s">
        <v>270</v>
      </c>
      <c r="F84" s="146">
        <f t="shared" si="22"/>
        <v>-116330</v>
      </c>
      <c r="G84" s="58">
        <f t="shared" si="15"/>
        <v>0</v>
      </c>
      <c r="H84" s="58">
        <f t="shared" si="16"/>
        <v>0</v>
      </c>
      <c r="I84" s="46"/>
      <c r="J84" s="92"/>
      <c r="K84" s="160"/>
      <c r="L84" s="92"/>
      <c r="M84" s="46"/>
      <c r="N84" s="92"/>
      <c r="O84" s="84"/>
      <c r="P84" s="84"/>
      <c r="Q84" s="84"/>
      <c r="R84" s="46"/>
      <c r="S84" s="46">
        <v>-11200</v>
      </c>
      <c r="T84" s="46">
        <f t="shared" si="3"/>
        <v>0</v>
      </c>
      <c r="U84" s="84"/>
      <c r="V84" s="87"/>
      <c r="W84" s="46" t="str">
        <f t="shared" si="9"/>
        <v/>
      </c>
      <c r="X84" s="89"/>
      <c r="Y84" s="89"/>
      <c r="Z84" s="46" t="str">
        <f t="shared" si="10"/>
        <v/>
      </c>
      <c r="AA84" s="89"/>
      <c r="AB84" s="90"/>
      <c r="AC84" s="46">
        <v>-152810</v>
      </c>
      <c r="AD84" s="89">
        <v>1</v>
      </c>
      <c r="AE84" s="90"/>
      <c r="AF84" s="99">
        <v>16020</v>
      </c>
      <c r="AG84" s="90">
        <v>1</v>
      </c>
      <c r="AH84" s="46">
        <f t="shared" si="11"/>
        <v>7060</v>
      </c>
      <c r="AI84" s="90">
        <v>1</v>
      </c>
      <c r="AJ84" s="46" t="str">
        <f t="shared" si="12"/>
        <v/>
      </c>
      <c r="AK84" s="89"/>
      <c r="AL84" s="89"/>
      <c r="AM84" s="46">
        <v>24600</v>
      </c>
      <c r="AN84" s="91">
        <v>1</v>
      </c>
      <c r="AO84" s="46" t="str">
        <f t="shared" si="14"/>
        <v/>
      </c>
      <c r="AP84" s="89"/>
      <c r="AQ84" s="46" t="str">
        <f t="shared" si="17"/>
        <v/>
      </c>
      <c r="AR84" s="89"/>
      <c r="AS84" s="46" t="str">
        <f t="shared" si="18"/>
        <v/>
      </c>
      <c r="AT84" s="89"/>
      <c r="AU84" s="46" t="str">
        <f t="shared" si="19"/>
        <v/>
      </c>
      <c r="AV84" s="89"/>
      <c r="AW84" s="46" t="str">
        <f t="shared" si="20"/>
        <v/>
      </c>
      <c r="AX84" s="89"/>
      <c r="AY84" s="46"/>
      <c r="AZ84" s="143"/>
      <c r="BA84" s="46" t="str">
        <f t="shared" si="23"/>
        <v/>
      </c>
      <c r="BB84" s="143"/>
    </row>
    <row r="85" spans="1:54" s="41" customFormat="1" ht="17.25" customHeight="1">
      <c r="A85" s="40"/>
      <c r="B85" s="152" t="s">
        <v>117</v>
      </c>
      <c r="C85" s="155">
        <v>78</v>
      </c>
      <c r="D85" s="156">
        <v>2</v>
      </c>
      <c r="E85" s="157" t="s">
        <v>232</v>
      </c>
      <c r="F85" s="146">
        <f t="shared" si="22"/>
        <v>-121340</v>
      </c>
      <c r="G85" s="58">
        <f t="shared" si="15"/>
        <v>0</v>
      </c>
      <c r="H85" s="58">
        <f t="shared" si="16"/>
        <v>0</v>
      </c>
      <c r="I85" s="46"/>
      <c r="J85" s="92"/>
      <c r="K85" s="160"/>
      <c r="L85" s="92"/>
      <c r="M85" s="46"/>
      <c r="N85" s="92"/>
      <c r="O85" s="84"/>
      <c r="P85" s="84"/>
      <c r="Q85" s="84"/>
      <c r="R85" s="46"/>
      <c r="S85" s="46">
        <v>-11200</v>
      </c>
      <c r="T85" s="46">
        <f t="shared" si="3"/>
        <v>0</v>
      </c>
      <c r="U85" s="84"/>
      <c r="V85" s="87"/>
      <c r="W85" s="46" t="str">
        <f t="shared" si="9"/>
        <v/>
      </c>
      <c r="X85" s="89"/>
      <c r="Y85" s="89"/>
      <c r="Z85" s="46" t="str">
        <f t="shared" si="10"/>
        <v/>
      </c>
      <c r="AA85" s="89"/>
      <c r="AB85" s="90"/>
      <c r="AC85" s="46">
        <v>-150760</v>
      </c>
      <c r="AD85" s="89">
        <v>1</v>
      </c>
      <c r="AE85" s="90"/>
      <c r="AF85" s="99">
        <v>16020</v>
      </c>
      <c r="AG85" s="90">
        <v>1</v>
      </c>
      <c r="AH85" s="46" t="str">
        <f t="shared" si="11"/>
        <v/>
      </c>
      <c r="AI85" s="90"/>
      <c r="AJ85" s="46" t="str">
        <f t="shared" si="12"/>
        <v/>
      </c>
      <c r="AK85" s="89"/>
      <c r="AL85" s="89"/>
      <c r="AM85" s="46">
        <v>24600</v>
      </c>
      <c r="AN85" s="91">
        <v>1</v>
      </c>
      <c r="AO85" s="46" t="str">
        <f t="shared" si="14"/>
        <v/>
      </c>
      <c r="AP85" s="89"/>
      <c r="AQ85" s="46" t="str">
        <f t="shared" si="17"/>
        <v/>
      </c>
      <c r="AR85" s="89"/>
      <c r="AS85" s="46" t="str">
        <f t="shared" si="18"/>
        <v/>
      </c>
      <c r="AT85" s="89"/>
      <c r="AU85" s="46" t="str">
        <f t="shared" si="19"/>
        <v/>
      </c>
      <c r="AV85" s="89"/>
      <c r="AW85" s="46" t="str">
        <f t="shared" si="20"/>
        <v/>
      </c>
      <c r="AX85" s="89"/>
      <c r="AY85" s="46"/>
      <c r="AZ85" s="143"/>
      <c r="BA85" s="46" t="str">
        <f t="shared" si="23"/>
        <v/>
      </c>
      <c r="BB85" s="143"/>
    </row>
    <row r="86" spans="1:54" s="41" customFormat="1" ht="17.25" customHeight="1">
      <c r="A86" s="40"/>
      <c r="B86" s="152"/>
      <c r="C86" s="155">
        <v>79</v>
      </c>
      <c r="D86" s="83">
        <v>2</v>
      </c>
      <c r="E86" s="157" t="s">
        <v>158</v>
      </c>
      <c r="F86" s="146">
        <f t="shared" si="22"/>
        <v>-135570</v>
      </c>
      <c r="G86" s="58"/>
      <c r="H86" s="58"/>
      <c r="I86" s="46"/>
      <c r="J86" s="92"/>
      <c r="K86" s="160"/>
      <c r="L86" s="92"/>
      <c r="M86" s="46"/>
      <c r="N86" s="92"/>
      <c r="O86" s="84"/>
      <c r="P86" s="84"/>
      <c r="Q86" s="84"/>
      <c r="R86" s="46"/>
      <c r="S86" s="46"/>
      <c r="T86" s="46">
        <f t="shared" si="3"/>
        <v>0</v>
      </c>
      <c r="U86" s="84"/>
      <c r="V86" s="87"/>
      <c r="W86" s="46"/>
      <c r="X86" s="89"/>
      <c r="Y86" s="89"/>
      <c r="Z86" s="46"/>
      <c r="AA86" s="89"/>
      <c r="AB86" s="90"/>
      <c r="AC86" s="46">
        <v>-190150</v>
      </c>
      <c r="AD86" s="89">
        <v>1</v>
      </c>
      <c r="AE86" s="90"/>
      <c r="AF86" s="99">
        <f>IF(ISNUMBER(AG86),AG86*$AF$3,"")</f>
        <v>16020</v>
      </c>
      <c r="AG86" s="90">
        <v>1</v>
      </c>
      <c r="AH86" s="46">
        <f t="shared" si="11"/>
        <v>7060</v>
      </c>
      <c r="AI86" s="90">
        <v>1</v>
      </c>
      <c r="AJ86" s="46" t="str">
        <f t="shared" si="12"/>
        <v/>
      </c>
      <c r="AK86" s="89"/>
      <c r="AL86" s="89"/>
      <c r="AM86" s="46">
        <v>31500</v>
      </c>
      <c r="AN86" s="91">
        <v>1</v>
      </c>
      <c r="AO86" s="46" t="str">
        <f t="shared" si="14"/>
        <v/>
      </c>
      <c r="AP86" s="89"/>
      <c r="AQ86" s="46"/>
      <c r="AR86" s="89"/>
      <c r="AS86" s="46"/>
      <c r="AT86" s="89"/>
      <c r="AU86" s="46"/>
      <c r="AV86" s="89"/>
      <c r="AW86" s="46"/>
      <c r="AX86" s="89"/>
      <c r="AY86" s="46"/>
      <c r="AZ86" s="143"/>
      <c r="BA86" s="46"/>
      <c r="BB86" s="143"/>
    </row>
    <row r="87" spans="1:54" s="41" customFormat="1" ht="17.25" customHeight="1">
      <c r="A87" s="40"/>
      <c r="B87" s="152" t="s">
        <v>33</v>
      </c>
      <c r="C87" s="155">
        <v>80</v>
      </c>
      <c r="D87" s="83">
        <v>3</v>
      </c>
      <c r="E87" s="59" t="s">
        <v>266</v>
      </c>
      <c r="F87" s="146">
        <f t="shared" si="22"/>
        <v>-108525</v>
      </c>
      <c r="G87" s="58">
        <f t="shared" ref="G87:G121" si="24">$R$3</f>
        <v>0</v>
      </c>
      <c r="H87" s="58">
        <f t="shared" ref="H87:H121" si="25">$T$3</f>
        <v>0</v>
      </c>
      <c r="I87" s="46"/>
      <c r="J87" s="92"/>
      <c r="K87" s="160"/>
      <c r="L87" s="92"/>
      <c r="M87" s="46"/>
      <c r="N87" s="92"/>
      <c r="O87" s="84"/>
      <c r="P87" s="84"/>
      <c r="Q87" s="84"/>
      <c r="R87" s="46"/>
      <c r="S87" s="46">
        <v>-32900</v>
      </c>
      <c r="T87" s="46">
        <f t="shared" si="3"/>
        <v>0</v>
      </c>
      <c r="U87" s="84"/>
      <c r="V87" s="87"/>
      <c r="W87" s="46" t="str">
        <f t="shared" si="9"/>
        <v/>
      </c>
      <c r="X87" s="89"/>
      <c r="Y87" s="89"/>
      <c r="Z87" s="46"/>
      <c r="AA87" s="89"/>
      <c r="AB87" s="90"/>
      <c r="AC87" s="46">
        <v>-150805</v>
      </c>
      <c r="AD87" s="89">
        <v>1</v>
      </c>
      <c r="AE87" s="90"/>
      <c r="AF87" s="99">
        <v>16020</v>
      </c>
      <c r="AG87" s="90">
        <v>1</v>
      </c>
      <c r="AH87" s="46">
        <f t="shared" si="11"/>
        <v>7060</v>
      </c>
      <c r="AI87" s="90">
        <v>1</v>
      </c>
      <c r="AJ87" s="46" t="str">
        <f t="shared" si="12"/>
        <v/>
      </c>
      <c r="AK87" s="89"/>
      <c r="AL87" s="89"/>
      <c r="AM87" s="46">
        <f t="shared" si="13"/>
        <v>-6900</v>
      </c>
      <c r="AN87" s="91">
        <v>1</v>
      </c>
      <c r="AO87" s="46">
        <f t="shared" si="14"/>
        <v>59000</v>
      </c>
      <c r="AP87" s="89">
        <v>1</v>
      </c>
      <c r="AQ87" s="46" t="str">
        <f t="shared" ref="AQ87:AQ121" si="26">IF(ISNUMBER(AR87),AR87*$AQ$3,"")</f>
        <v/>
      </c>
      <c r="AR87" s="89"/>
      <c r="AS87" s="46" t="str">
        <f>IF(ISNUMBER(AT87),AT87*$AS$3,"")</f>
        <v/>
      </c>
      <c r="AT87" s="89"/>
      <c r="AU87" s="46" t="str">
        <f t="shared" si="19"/>
        <v/>
      </c>
      <c r="AV87" s="89"/>
      <c r="AW87" s="46" t="str">
        <f t="shared" ref="AW87:AW121" si="27">IF(ISNUMBER(AX87),AX87*$AW$3,"")</f>
        <v/>
      </c>
      <c r="AX87" s="89"/>
      <c r="AY87" s="46"/>
      <c r="AZ87" s="143"/>
      <c r="BA87" s="46" t="str">
        <f t="shared" si="23"/>
        <v/>
      </c>
      <c r="BB87" s="143"/>
    </row>
    <row r="88" spans="1:54" s="41" customFormat="1" ht="17.25" customHeight="1">
      <c r="A88" s="40"/>
      <c r="B88" s="152" t="s">
        <v>46</v>
      </c>
      <c r="C88" s="155">
        <v>81</v>
      </c>
      <c r="D88" s="83">
        <v>3</v>
      </c>
      <c r="E88" s="59" t="s">
        <v>279</v>
      </c>
      <c r="F88" s="146">
        <f t="shared" si="22"/>
        <v>-91625</v>
      </c>
      <c r="G88" s="58">
        <f t="shared" si="24"/>
        <v>0</v>
      </c>
      <c r="H88" s="58">
        <f t="shared" si="25"/>
        <v>0</v>
      </c>
      <c r="I88" s="46"/>
      <c r="J88" s="92"/>
      <c r="K88" s="160"/>
      <c r="L88" s="92"/>
      <c r="M88" s="46"/>
      <c r="N88" s="92"/>
      <c r="O88" s="84"/>
      <c r="P88" s="84"/>
      <c r="Q88" s="84"/>
      <c r="R88" s="46"/>
      <c r="S88" s="46">
        <v>-11200</v>
      </c>
      <c r="T88" s="46">
        <f t="shared" si="3"/>
        <v>0</v>
      </c>
      <c r="U88" s="84"/>
      <c r="V88" s="87"/>
      <c r="W88" s="46" t="str">
        <f t="shared" si="9"/>
        <v/>
      </c>
      <c r="X88" s="89"/>
      <c r="Y88" s="89"/>
      <c r="Z88" s="46"/>
      <c r="AA88" s="89"/>
      <c r="AB88" s="90"/>
      <c r="AC88" s="46">
        <v>-155605</v>
      </c>
      <c r="AD88" s="89">
        <v>1</v>
      </c>
      <c r="AE88" s="90"/>
      <c r="AF88" s="99">
        <v>16020</v>
      </c>
      <c r="AG88" s="90">
        <v>1</v>
      </c>
      <c r="AH88" s="46">
        <f t="shared" si="11"/>
        <v>7060</v>
      </c>
      <c r="AI88" s="90">
        <v>1</v>
      </c>
      <c r="AJ88" s="46" t="str">
        <f t="shared" si="12"/>
        <v/>
      </c>
      <c r="AK88" s="89"/>
      <c r="AL88" s="89"/>
      <c r="AM88" s="46">
        <f t="shared" si="13"/>
        <v>-6900</v>
      </c>
      <c r="AN88" s="91">
        <v>1</v>
      </c>
      <c r="AO88" s="46">
        <f t="shared" si="14"/>
        <v>59000</v>
      </c>
      <c r="AP88" s="89">
        <v>1</v>
      </c>
      <c r="AQ88" s="46" t="str">
        <f t="shared" si="26"/>
        <v/>
      </c>
      <c r="AR88" s="89"/>
      <c r="AS88" s="46" t="str">
        <f>IF(ISNUMBER(AT88),AT88*$AS$3,"")</f>
        <v/>
      </c>
      <c r="AT88" s="89"/>
      <c r="AU88" s="46" t="str">
        <f t="shared" si="19"/>
        <v/>
      </c>
      <c r="AV88" s="89"/>
      <c r="AW88" s="46" t="str">
        <f t="shared" si="27"/>
        <v/>
      </c>
      <c r="AX88" s="89"/>
      <c r="AY88" s="46"/>
      <c r="AZ88" s="143"/>
      <c r="BA88" s="46" t="str">
        <f t="shared" si="23"/>
        <v/>
      </c>
      <c r="BB88" s="143"/>
    </row>
    <row r="89" spans="1:54" s="41" customFormat="1" ht="17.25" customHeight="1">
      <c r="A89" s="40"/>
      <c r="B89" s="152" t="s">
        <v>56</v>
      </c>
      <c r="C89" s="155">
        <v>82</v>
      </c>
      <c r="D89" s="83">
        <v>3</v>
      </c>
      <c r="E89" s="59" t="s">
        <v>263</v>
      </c>
      <c r="F89" s="146">
        <f t="shared" si="22"/>
        <v>-112335</v>
      </c>
      <c r="G89" s="58">
        <f t="shared" si="24"/>
        <v>0</v>
      </c>
      <c r="H89" s="58">
        <f t="shared" si="25"/>
        <v>0</v>
      </c>
      <c r="I89" s="46"/>
      <c r="J89" s="92"/>
      <c r="K89" s="160"/>
      <c r="L89" s="92"/>
      <c r="M89" s="46"/>
      <c r="N89" s="92"/>
      <c r="O89" s="84"/>
      <c r="P89" s="84"/>
      <c r="Q89" s="84"/>
      <c r="R89" s="46"/>
      <c r="S89" s="46">
        <v>-32900</v>
      </c>
      <c r="T89" s="46">
        <f t="shared" si="3"/>
        <v>0</v>
      </c>
      <c r="U89" s="84"/>
      <c r="V89" s="87"/>
      <c r="W89" s="46" t="str">
        <f t="shared" si="9"/>
        <v/>
      </c>
      <c r="X89" s="89"/>
      <c r="Y89" s="89"/>
      <c r="Z89" s="46"/>
      <c r="AA89" s="89"/>
      <c r="AB89" s="90"/>
      <c r="AC89" s="46">
        <v>-155605</v>
      </c>
      <c r="AD89" s="89">
        <v>1</v>
      </c>
      <c r="AE89" s="90"/>
      <c r="AF89" s="99">
        <v>17010</v>
      </c>
      <c r="AG89" s="90">
        <v>1</v>
      </c>
      <c r="AH89" s="46">
        <f t="shared" si="11"/>
        <v>7060</v>
      </c>
      <c r="AI89" s="90">
        <v>1</v>
      </c>
      <c r="AJ89" s="46" t="str">
        <f t="shared" si="12"/>
        <v/>
      </c>
      <c r="AK89" s="89"/>
      <c r="AL89" s="89"/>
      <c r="AM89" s="46">
        <f t="shared" si="13"/>
        <v>-6900</v>
      </c>
      <c r="AN89" s="91">
        <v>1</v>
      </c>
      <c r="AO89" s="46">
        <f t="shared" si="14"/>
        <v>59000</v>
      </c>
      <c r="AP89" s="89">
        <v>1</v>
      </c>
      <c r="AQ89" s="46" t="str">
        <f t="shared" si="26"/>
        <v/>
      </c>
      <c r="AR89" s="89"/>
      <c r="AS89" s="46" t="str">
        <f t="shared" ref="AS89:AS121" si="28">IF(ISNUMBER(AT89),AT89*$AS$3,"")</f>
        <v/>
      </c>
      <c r="AT89" s="89"/>
      <c r="AU89" s="46" t="str">
        <f t="shared" si="19"/>
        <v/>
      </c>
      <c r="AV89" s="89"/>
      <c r="AW89" s="46" t="str">
        <f t="shared" si="27"/>
        <v/>
      </c>
      <c r="AX89" s="89"/>
      <c r="AY89" s="46"/>
      <c r="AZ89" s="143"/>
      <c r="BA89" s="46" t="str">
        <f t="shared" si="23"/>
        <v/>
      </c>
      <c r="BB89" s="143"/>
    </row>
    <row r="90" spans="1:54" s="41" customFormat="1" ht="17.25" customHeight="1">
      <c r="A90" s="40"/>
      <c r="B90" s="152" t="s">
        <v>41</v>
      </c>
      <c r="C90" s="155">
        <v>83</v>
      </c>
      <c r="D90" s="83">
        <v>3</v>
      </c>
      <c r="E90" s="59" t="s">
        <v>277</v>
      </c>
      <c r="F90" s="146">
        <f t="shared" si="22"/>
        <v>-127455</v>
      </c>
      <c r="G90" s="58">
        <f t="shared" si="24"/>
        <v>0</v>
      </c>
      <c r="H90" s="58">
        <f t="shared" si="25"/>
        <v>0</v>
      </c>
      <c r="I90" s="46"/>
      <c r="J90" s="92"/>
      <c r="K90" s="160"/>
      <c r="L90" s="92"/>
      <c r="M90" s="46"/>
      <c r="N90" s="92"/>
      <c r="O90" s="84"/>
      <c r="P90" s="84"/>
      <c r="Q90" s="84"/>
      <c r="R90" s="46"/>
      <c r="S90" s="46">
        <v>-32900</v>
      </c>
      <c r="T90" s="46">
        <f t="shared" si="3"/>
        <v>0</v>
      </c>
      <c r="U90" s="84"/>
      <c r="V90" s="87"/>
      <c r="W90" s="46" t="str">
        <f t="shared" si="9"/>
        <v/>
      </c>
      <c r="X90" s="89"/>
      <c r="Y90" s="89"/>
      <c r="Z90" s="46"/>
      <c r="AA90" s="89"/>
      <c r="AB90" s="90"/>
      <c r="AC90" s="46">
        <v>-169735</v>
      </c>
      <c r="AD90" s="89">
        <v>1</v>
      </c>
      <c r="AE90" s="89"/>
      <c r="AF90" s="99">
        <v>16020</v>
      </c>
      <c r="AG90" s="90">
        <v>1</v>
      </c>
      <c r="AH90" s="46">
        <f t="shared" si="11"/>
        <v>7060</v>
      </c>
      <c r="AI90" s="90">
        <v>1</v>
      </c>
      <c r="AJ90" s="46" t="str">
        <f t="shared" si="12"/>
        <v/>
      </c>
      <c r="AK90" s="89"/>
      <c r="AL90" s="89"/>
      <c r="AM90" s="46">
        <f t="shared" si="13"/>
        <v>-6900</v>
      </c>
      <c r="AN90" s="91">
        <v>1</v>
      </c>
      <c r="AO90" s="46">
        <f t="shared" si="14"/>
        <v>59000</v>
      </c>
      <c r="AP90" s="89">
        <v>1</v>
      </c>
      <c r="AQ90" s="46" t="str">
        <f t="shared" si="26"/>
        <v/>
      </c>
      <c r="AR90" s="89"/>
      <c r="AS90" s="46" t="str">
        <f t="shared" si="28"/>
        <v/>
      </c>
      <c r="AT90" s="89"/>
      <c r="AU90" s="46" t="str">
        <f t="shared" ref="AU90:AU121" si="29">IF(ISNUMBER(AV90),AV90*$AU$3,"")</f>
        <v/>
      </c>
      <c r="AV90" s="89"/>
      <c r="AW90" s="46" t="str">
        <f t="shared" si="27"/>
        <v/>
      </c>
      <c r="AX90" s="89"/>
      <c r="AY90" s="46"/>
      <c r="AZ90" s="143"/>
      <c r="BA90" s="46" t="str">
        <f t="shared" si="23"/>
        <v/>
      </c>
      <c r="BB90" s="143"/>
    </row>
    <row r="91" spans="1:54" s="41" customFormat="1" ht="17.25" customHeight="1">
      <c r="A91" s="40"/>
      <c r="B91" s="152" t="s">
        <v>67</v>
      </c>
      <c r="C91" s="155">
        <v>84</v>
      </c>
      <c r="D91" s="83">
        <v>3</v>
      </c>
      <c r="E91" s="59" t="s">
        <v>200</v>
      </c>
      <c r="F91" s="146">
        <f t="shared" si="22"/>
        <v>-57435</v>
      </c>
      <c r="G91" s="58">
        <f t="shared" si="24"/>
        <v>0</v>
      </c>
      <c r="H91" s="58">
        <f t="shared" si="25"/>
        <v>0</v>
      </c>
      <c r="I91" s="46"/>
      <c r="J91" s="92"/>
      <c r="K91" s="160"/>
      <c r="L91" s="92"/>
      <c r="M91" s="46"/>
      <c r="N91" s="92"/>
      <c r="O91" s="84"/>
      <c r="P91" s="84"/>
      <c r="Q91" s="84"/>
      <c r="R91" s="46"/>
      <c r="S91" s="46">
        <v>-32900</v>
      </c>
      <c r="T91" s="46">
        <f t="shared" si="3"/>
        <v>0</v>
      </c>
      <c r="U91" s="84"/>
      <c r="V91" s="87"/>
      <c r="W91" s="46" t="str">
        <f t="shared" si="9"/>
        <v/>
      </c>
      <c r="X91" s="89"/>
      <c r="Y91" s="89"/>
      <c r="Z91" s="46"/>
      <c r="AA91" s="89"/>
      <c r="AB91" s="90"/>
      <c r="AC91" s="46">
        <v>-100705</v>
      </c>
      <c r="AD91" s="89">
        <v>1</v>
      </c>
      <c r="AE91" s="89"/>
      <c r="AF91" s="99">
        <v>17010</v>
      </c>
      <c r="AG91" s="90">
        <v>1</v>
      </c>
      <c r="AH91" s="46">
        <f t="shared" si="11"/>
        <v>7060</v>
      </c>
      <c r="AI91" s="90">
        <v>1</v>
      </c>
      <c r="AJ91" s="46" t="str">
        <f t="shared" si="12"/>
        <v/>
      </c>
      <c r="AK91" s="89"/>
      <c r="AL91" s="89"/>
      <c r="AM91" s="46">
        <f t="shared" si="13"/>
        <v>-6900</v>
      </c>
      <c r="AN91" s="91">
        <v>1</v>
      </c>
      <c r="AO91" s="46">
        <f t="shared" si="14"/>
        <v>59000</v>
      </c>
      <c r="AP91" s="89">
        <v>1</v>
      </c>
      <c r="AQ91" s="46" t="str">
        <f t="shared" si="26"/>
        <v/>
      </c>
      <c r="AR91" s="89"/>
      <c r="AS91" s="46" t="str">
        <f t="shared" si="28"/>
        <v/>
      </c>
      <c r="AT91" s="89"/>
      <c r="AU91" s="46" t="str">
        <f t="shared" si="29"/>
        <v/>
      </c>
      <c r="AV91" s="89"/>
      <c r="AW91" s="46" t="str">
        <f t="shared" si="27"/>
        <v/>
      </c>
      <c r="AX91" s="89"/>
      <c r="AY91" s="46"/>
      <c r="AZ91" s="143"/>
      <c r="BA91" s="46" t="str">
        <f t="shared" si="23"/>
        <v/>
      </c>
      <c r="BB91" s="143"/>
    </row>
    <row r="92" spans="1:54" s="41" customFormat="1" ht="17.25" customHeight="1">
      <c r="A92" s="40"/>
      <c r="B92" s="152" t="s">
        <v>7</v>
      </c>
      <c r="C92" s="155">
        <v>85</v>
      </c>
      <c r="D92" s="83">
        <v>3</v>
      </c>
      <c r="E92" s="59" t="s">
        <v>199</v>
      </c>
      <c r="F92" s="146">
        <f t="shared" si="22"/>
        <v>-78770</v>
      </c>
      <c r="G92" s="58">
        <f t="shared" si="24"/>
        <v>0</v>
      </c>
      <c r="H92" s="58">
        <f t="shared" si="25"/>
        <v>0</v>
      </c>
      <c r="I92" s="46"/>
      <c r="J92" s="92"/>
      <c r="K92" s="160"/>
      <c r="L92" s="92"/>
      <c r="M92" s="46"/>
      <c r="N92" s="92"/>
      <c r="O92" s="84"/>
      <c r="P92" s="84"/>
      <c r="Q92" s="84"/>
      <c r="R92" s="46"/>
      <c r="S92" s="46">
        <v>-32900</v>
      </c>
      <c r="T92" s="46">
        <f t="shared" si="3"/>
        <v>0</v>
      </c>
      <c r="U92" s="84"/>
      <c r="V92" s="87"/>
      <c r="W92" s="46" t="str">
        <f t="shared" si="9"/>
        <v/>
      </c>
      <c r="X92" s="89"/>
      <c r="Y92" s="89"/>
      <c r="Z92" s="46"/>
      <c r="AA92" s="89"/>
      <c r="AB92" s="90"/>
      <c r="AC92" s="46">
        <v>-121050</v>
      </c>
      <c r="AD92" s="89">
        <v>1</v>
      </c>
      <c r="AE92" s="90"/>
      <c r="AF92" s="99">
        <v>16020</v>
      </c>
      <c r="AG92" s="90">
        <v>1</v>
      </c>
      <c r="AH92" s="46">
        <f t="shared" si="11"/>
        <v>7060</v>
      </c>
      <c r="AI92" s="90">
        <v>1</v>
      </c>
      <c r="AJ92" s="46" t="str">
        <f t="shared" si="12"/>
        <v/>
      </c>
      <c r="AK92" s="89"/>
      <c r="AL92" s="89"/>
      <c r="AM92" s="46">
        <f t="shared" si="13"/>
        <v>-6900</v>
      </c>
      <c r="AN92" s="91">
        <v>1</v>
      </c>
      <c r="AO92" s="46">
        <f t="shared" si="14"/>
        <v>59000</v>
      </c>
      <c r="AP92" s="89">
        <v>1</v>
      </c>
      <c r="AQ92" s="46" t="str">
        <f t="shared" si="26"/>
        <v/>
      </c>
      <c r="AR92" s="89"/>
      <c r="AS92" s="46" t="str">
        <f t="shared" si="28"/>
        <v/>
      </c>
      <c r="AT92" s="89"/>
      <c r="AU92" s="46" t="str">
        <f t="shared" si="29"/>
        <v/>
      </c>
      <c r="AV92" s="89"/>
      <c r="AW92" s="46" t="str">
        <f t="shared" si="27"/>
        <v/>
      </c>
      <c r="AX92" s="89"/>
      <c r="AY92" s="46"/>
      <c r="AZ92" s="143"/>
      <c r="BA92" s="46" t="str">
        <f t="shared" si="23"/>
        <v/>
      </c>
      <c r="BB92" s="143"/>
    </row>
    <row r="93" spans="1:54" s="41" customFormat="1" ht="17.25" customHeight="1">
      <c r="A93" s="40"/>
      <c r="B93" s="152" t="s">
        <v>34</v>
      </c>
      <c r="C93" s="155">
        <v>86</v>
      </c>
      <c r="D93" s="83">
        <v>3</v>
      </c>
      <c r="E93" s="59" t="s">
        <v>173</v>
      </c>
      <c r="F93" s="146">
        <f t="shared" si="22"/>
        <v>162475</v>
      </c>
      <c r="G93" s="58">
        <f t="shared" si="24"/>
        <v>0</v>
      </c>
      <c r="H93" s="58">
        <f t="shared" si="25"/>
        <v>0</v>
      </c>
      <c r="I93" s="46"/>
      <c r="J93" s="92"/>
      <c r="K93" s="160"/>
      <c r="L93" s="92"/>
      <c r="M93" s="46"/>
      <c r="N93" s="92"/>
      <c r="O93" s="84"/>
      <c r="P93" s="84"/>
      <c r="Q93" s="84"/>
      <c r="R93" s="46"/>
      <c r="S93" s="46">
        <v>-32900</v>
      </c>
      <c r="T93" s="46">
        <f t="shared" si="3"/>
        <v>0</v>
      </c>
      <c r="U93" s="84"/>
      <c r="V93" s="87"/>
      <c r="W93" s="46" t="str">
        <f t="shared" si="9"/>
        <v/>
      </c>
      <c r="X93" s="89"/>
      <c r="Y93" s="89"/>
      <c r="Z93" s="46"/>
      <c r="AA93" s="89"/>
      <c r="AB93" s="90"/>
      <c r="AC93" s="46">
        <v>-148105</v>
      </c>
      <c r="AD93" s="89">
        <v>1</v>
      </c>
      <c r="AE93" s="90"/>
      <c r="AF93" s="99">
        <v>16020</v>
      </c>
      <c r="AG93" s="90">
        <v>1</v>
      </c>
      <c r="AH93" s="46">
        <f t="shared" si="11"/>
        <v>7060</v>
      </c>
      <c r="AI93" s="90">
        <v>1</v>
      </c>
      <c r="AJ93" s="46">
        <f t="shared" si="12"/>
        <v>268300</v>
      </c>
      <c r="AK93" s="89">
        <v>1</v>
      </c>
      <c r="AL93" s="89"/>
      <c r="AM93" s="46">
        <f t="shared" si="13"/>
        <v>-6900</v>
      </c>
      <c r="AN93" s="91">
        <v>1</v>
      </c>
      <c r="AO93" s="46">
        <f t="shared" si="14"/>
        <v>59000</v>
      </c>
      <c r="AP93" s="89">
        <v>1</v>
      </c>
      <c r="AQ93" s="46" t="str">
        <f t="shared" si="26"/>
        <v/>
      </c>
      <c r="AR93" s="89"/>
      <c r="AS93" s="46" t="str">
        <f t="shared" si="28"/>
        <v/>
      </c>
      <c r="AT93" s="89"/>
      <c r="AU93" s="46" t="str">
        <f t="shared" si="29"/>
        <v/>
      </c>
      <c r="AV93" s="89"/>
      <c r="AW93" s="46" t="str">
        <f t="shared" si="27"/>
        <v/>
      </c>
      <c r="AX93" s="89"/>
      <c r="AY93" s="46"/>
      <c r="AZ93" s="143"/>
      <c r="BA93" s="46" t="str">
        <f t="shared" si="23"/>
        <v/>
      </c>
      <c r="BB93" s="143"/>
    </row>
    <row r="94" spans="1:54" s="41" customFormat="1" ht="17.25" customHeight="1">
      <c r="A94" s="40"/>
      <c r="B94" s="152" t="s">
        <v>37</v>
      </c>
      <c r="C94" s="155">
        <v>87</v>
      </c>
      <c r="D94" s="83">
        <v>3</v>
      </c>
      <c r="E94" s="59" t="s">
        <v>267</v>
      </c>
      <c r="F94" s="146">
        <f t="shared" si="22"/>
        <v>-96605</v>
      </c>
      <c r="G94" s="58">
        <f t="shared" si="24"/>
        <v>0</v>
      </c>
      <c r="H94" s="58">
        <f t="shared" si="25"/>
        <v>0</v>
      </c>
      <c r="I94" s="46"/>
      <c r="J94" s="92"/>
      <c r="K94" s="160"/>
      <c r="L94" s="92"/>
      <c r="M94" s="46"/>
      <c r="N94" s="92"/>
      <c r="O94" s="84"/>
      <c r="P94" s="84"/>
      <c r="Q94" s="84"/>
      <c r="R94" s="46"/>
      <c r="S94" s="46">
        <v>-32900</v>
      </c>
      <c r="T94" s="46">
        <f t="shared" si="3"/>
        <v>0</v>
      </c>
      <c r="U94" s="84"/>
      <c r="V94" s="87"/>
      <c r="W94" s="46" t="str">
        <f t="shared" si="9"/>
        <v/>
      </c>
      <c r="X94" s="89"/>
      <c r="Y94" s="89"/>
      <c r="Z94" s="46"/>
      <c r="AA94" s="89"/>
      <c r="AB94" s="90"/>
      <c r="AC94" s="46">
        <v>-139875</v>
      </c>
      <c r="AD94" s="89">
        <v>1</v>
      </c>
      <c r="AE94" s="89"/>
      <c r="AF94" s="99">
        <v>17010</v>
      </c>
      <c r="AG94" s="90">
        <v>1</v>
      </c>
      <c r="AH94" s="46">
        <f t="shared" si="11"/>
        <v>7060</v>
      </c>
      <c r="AI94" s="90">
        <v>1</v>
      </c>
      <c r="AJ94" s="46" t="str">
        <f t="shared" si="12"/>
        <v/>
      </c>
      <c r="AK94" s="89"/>
      <c r="AL94" s="89"/>
      <c r="AM94" s="46">
        <f t="shared" si="13"/>
        <v>-6900</v>
      </c>
      <c r="AN94" s="91">
        <v>1</v>
      </c>
      <c r="AO94" s="46">
        <f t="shared" si="14"/>
        <v>59000</v>
      </c>
      <c r="AP94" s="89">
        <v>1</v>
      </c>
      <c r="AQ94" s="46" t="str">
        <f t="shared" si="26"/>
        <v/>
      </c>
      <c r="AR94" s="89"/>
      <c r="AS94" s="46" t="str">
        <f t="shared" si="28"/>
        <v/>
      </c>
      <c r="AT94" s="89"/>
      <c r="AU94" s="46" t="str">
        <f t="shared" si="29"/>
        <v/>
      </c>
      <c r="AV94" s="89"/>
      <c r="AW94" s="46" t="str">
        <f t="shared" si="27"/>
        <v/>
      </c>
      <c r="AX94" s="89"/>
      <c r="AY94" s="46"/>
      <c r="AZ94" s="143"/>
      <c r="BA94" s="46" t="str">
        <f t="shared" si="23"/>
        <v/>
      </c>
      <c r="BB94" s="143"/>
    </row>
    <row r="95" spans="1:54" s="41" customFormat="1" ht="17.25" customHeight="1">
      <c r="A95" s="40"/>
      <c r="B95" s="152" t="s">
        <v>38</v>
      </c>
      <c r="C95" s="155">
        <v>88</v>
      </c>
      <c r="D95" s="83">
        <v>3</v>
      </c>
      <c r="E95" s="59" t="s">
        <v>228</v>
      </c>
      <c r="F95" s="146">
        <f t="shared" si="22"/>
        <v>-83105</v>
      </c>
      <c r="G95" s="58">
        <f t="shared" si="24"/>
        <v>0</v>
      </c>
      <c r="H95" s="58">
        <f t="shared" si="25"/>
        <v>0</v>
      </c>
      <c r="I95" s="46"/>
      <c r="J95" s="92"/>
      <c r="K95" s="160"/>
      <c r="L95" s="92"/>
      <c r="M95" s="46"/>
      <c r="N95" s="92"/>
      <c r="O95" s="84"/>
      <c r="P95" s="84"/>
      <c r="Q95" s="84"/>
      <c r="R95" s="46"/>
      <c r="S95" s="46">
        <v>-32900</v>
      </c>
      <c r="T95" s="46">
        <f t="shared" si="3"/>
        <v>0</v>
      </c>
      <c r="U95" s="84"/>
      <c r="V95" s="87"/>
      <c r="W95" s="46" t="str">
        <f t="shared" si="9"/>
        <v/>
      </c>
      <c r="X95" s="89"/>
      <c r="Y95" s="89"/>
      <c r="Z95" s="46"/>
      <c r="AA95" s="89"/>
      <c r="AB95" s="90"/>
      <c r="AC95" s="46">
        <v>-132805</v>
      </c>
      <c r="AD95" s="89">
        <v>1</v>
      </c>
      <c r="AE95" s="89"/>
      <c r="AF95" s="99">
        <v>23440</v>
      </c>
      <c r="AG95" s="90">
        <v>1</v>
      </c>
      <c r="AH95" s="46">
        <f t="shared" si="11"/>
        <v>7060</v>
      </c>
      <c r="AI95" s="90">
        <v>1</v>
      </c>
      <c r="AJ95" s="46" t="str">
        <f t="shared" si="12"/>
        <v/>
      </c>
      <c r="AK95" s="89"/>
      <c r="AL95" s="89"/>
      <c r="AM95" s="46">
        <f t="shared" si="13"/>
        <v>-6900</v>
      </c>
      <c r="AN95" s="91">
        <v>1</v>
      </c>
      <c r="AO95" s="46">
        <f t="shared" si="14"/>
        <v>59000</v>
      </c>
      <c r="AP95" s="89">
        <v>1</v>
      </c>
      <c r="AQ95" s="46" t="str">
        <f t="shared" si="26"/>
        <v/>
      </c>
      <c r="AR95" s="89"/>
      <c r="AS95" s="46" t="str">
        <f t="shared" si="28"/>
        <v/>
      </c>
      <c r="AT95" s="89"/>
      <c r="AU95" s="46" t="str">
        <f t="shared" si="29"/>
        <v/>
      </c>
      <c r="AV95" s="89"/>
      <c r="AW95" s="46" t="str">
        <f t="shared" si="27"/>
        <v/>
      </c>
      <c r="AX95" s="89"/>
      <c r="AY95" s="46"/>
      <c r="AZ95" s="143"/>
      <c r="BA95" s="46" t="str">
        <f t="shared" si="23"/>
        <v/>
      </c>
      <c r="BB95" s="143"/>
    </row>
    <row r="96" spans="1:54" s="41" customFormat="1" ht="17.25" customHeight="1">
      <c r="A96" s="40"/>
      <c r="B96" s="152" t="s">
        <v>73</v>
      </c>
      <c r="C96" s="155">
        <v>89</v>
      </c>
      <c r="D96" s="83">
        <v>3</v>
      </c>
      <c r="E96" s="59" t="s">
        <v>246</v>
      </c>
      <c r="F96" s="146">
        <f t="shared" si="22"/>
        <v>-115260</v>
      </c>
      <c r="G96" s="58">
        <f t="shared" si="24"/>
        <v>0</v>
      </c>
      <c r="H96" s="58">
        <f t="shared" si="25"/>
        <v>0</v>
      </c>
      <c r="I96" s="46"/>
      <c r="J96" s="92"/>
      <c r="K96" s="160"/>
      <c r="L96" s="92"/>
      <c r="M96" s="46"/>
      <c r="N96" s="92"/>
      <c r="O96" s="84"/>
      <c r="P96" s="84"/>
      <c r="Q96" s="84"/>
      <c r="R96" s="46"/>
      <c r="S96" s="46">
        <v>-32900</v>
      </c>
      <c r="T96" s="46">
        <f t="shared" si="3"/>
        <v>0</v>
      </c>
      <c r="U96" s="84"/>
      <c r="V96" s="87"/>
      <c r="W96" s="46" t="str">
        <f t="shared" si="9"/>
        <v/>
      </c>
      <c r="X96" s="89"/>
      <c r="Y96" s="89"/>
      <c r="Z96" s="46"/>
      <c r="AA96" s="89"/>
      <c r="AB96" s="90"/>
      <c r="AC96" s="46">
        <v>-158530</v>
      </c>
      <c r="AD96" s="89">
        <v>1</v>
      </c>
      <c r="AE96" s="90"/>
      <c r="AF96" s="99">
        <v>17010</v>
      </c>
      <c r="AG96" s="90">
        <v>1</v>
      </c>
      <c r="AH96" s="46">
        <f t="shared" si="11"/>
        <v>7060</v>
      </c>
      <c r="AI96" s="90">
        <v>1</v>
      </c>
      <c r="AJ96" s="46" t="str">
        <f t="shared" si="12"/>
        <v/>
      </c>
      <c r="AK96" s="89"/>
      <c r="AL96" s="89"/>
      <c r="AM96" s="46">
        <f t="shared" si="13"/>
        <v>-6900</v>
      </c>
      <c r="AN96" s="91">
        <v>1</v>
      </c>
      <c r="AO96" s="46">
        <f t="shared" si="14"/>
        <v>59000</v>
      </c>
      <c r="AP96" s="89">
        <v>1</v>
      </c>
      <c r="AQ96" s="46" t="str">
        <f t="shared" si="26"/>
        <v/>
      </c>
      <c r="AR96" s="89"/>
      <c r="AS96" s="46" t="str">
        <f t="shared" si="28"/>
        <v/>
      </c>
      <c r="AT96" s="89"/>
      <c r="AU96" s="46" t="str">
        <f t="shared" si="29"/>
        <v/>
      </c>
      <c r="AV96" s="89"/>
      <c r="AW96" s="46" t="str">
        <f t="shared" si="27"/>
        <v/>
      </c>
      <c r="AX96" s="89"/>
      <c r="AY96" s="46"/>
      <c r="AZ96" s="143"/>
      <c r="BA96" s="46" t="str">
        <f t="shared" si="23"/>
        <v/>
      </c>
      <c r="BB96" s="143"/>
    </row>
    <row r="97" spans="1:54" s="41" customFormat="1" ht="17.25" customHeight="1">
      <c r="A97" s="40"/>
      <c r="B97" s="152" t="s">
        <v>71</v>
      </c>
      <c r="C97" s="155">
        <v>90</v>
      </c>
      <c r="D97" s="83">
        <v>3</v>
      </c>
      <c r="E97" s="59" t="s">
        <v>193</v>
      </c>
      <c r="F97" s="146">
        <f t="shared" si="22"/>
        <v>-54370</v>
      </c>
      <c r="G97" s="58">
        <f t="shared" si="24"/>
        <v>0</v>
      </c>
      <c r="H97" s="58">
        <f t="shared" si="25"/>
        <v>0</v>
      </c>
      <c r="I97" s="46"/>
      <c r="J97" s="92"/>
      <c r="K97" s="160"/>
      <c r="L97" s="92"/>
      <c r="M97" s="46"/>
      <c r="N97" s="92"/>
      <c r="O97" s="84"/>
      <c r="P97" s="84"/>
      <c r="Q97" s="84"/>
      <c r="R97" s="46"/>
      <c r="S97" s="46">
        <v>-32900</v>
      </c>
      <c r="T97" s="46">
        <f t="shared" si="3"/>
        <v>0</v>
      </c>
      <c r="U97" s="84"/>
      <c r="V97" s="87"/>
      <c r="W97" s="46" t="str">
        <f t="shared" si="9"/>
        <v/>
      </c>
      <c r="X97" s="89"/>
      <c r="Y97" s="89"/>
      <c r="Z97" s="46"/>
      <c r="AA97" s="89"/>
      <c r="AB97" s="90"/>
      <c r="AC97" s="46">
        <v>-96650</v>
      </c>
      <c r="AD97" s="89">
        <v>1</v>
      </c>
      <c r="AE97" s="89"/>
      <c r="AF97" s="99">
        <v>16020</v>
      </c>
      <c r="AG97" s="90">
        <v>1</v>
      </c>
      <c r="AH97" s="46">
        <f t="shared" si="11"/>
        <v>7060</v>
      </c>
      <c r="AI97" s="90">
        <v>1</v>
      </c>
      <c r="AJ97" s="46" t="str">
        <f t="shared" si="12"/>
        <v/>
      </c>
      <c r="AK97" s="89"/>
      <c r="AL97" s="89"/>
      <c r="AM97" s="46">
        <f t="shared" si="13"/>
        <v>-6900</v>
      </c>
      <c r="AN97" s="91">
        <v>1</v>
      </c>
      <c r="AO97" s="46">
        <f t="shared" si="14"/>
        <v>59000</v>
      </c>
      <c r="AP97" s="89">
        <v>1</v>
      </c>
      <c r="AQ97" s="46" t="str">
        <f t="shared" si="26"/>
        <v/>
      </c>
      <c r="AR97" s="89"/>
      <c r="AS97" s="46" t="str">
        <f t="shared" si="28"/>
        <v/>
      </c>
      <c r="AT97" s="89"/>
      <c r="AU97" s="46" t="str">
        <f t="shared" si="29"/>
        <v/>
      </c>
      <c r="AV97" s="89"/>
      <c r="AW97" s="46" t="str">
        <f t="shared" si="27"/>
        <v/>
      </c>
      <c r="AX97" s="89"/>
      <c r="AY97" s="46"/>
      <c r="AZ97" s="143"/>
      <c r="BA97" s="46" t="str">
        <f t="shared" si="23"/>
        <v/>
      </c>
      <c r="BB97" s="143"/>
    </row>
    <row r="98" spans="1:54" s="41" customFormat="1" ht="17.25" customHeight="1">
      <c r="A98" s="40"/>
      <c r="B98" s="153" t="s">
        <v>112</v>
      </c>
      <c r="C98" s="155">
        <v>91</v>
      </c>
      <c r="D98" s="83">
        <v>3</v>
      </c>
      <c r="E98" s="59" t="s">
        <v>188</v>
      </c>
      <c r="F98" s="146">
        <f t="shared" si="22"/>
        <v>-60580</v>
      </c>
      <c r="G98" s="58">
        <f t="shared" si="24"/>
        <v>0</v>
      </c>
      <c r="H98" s="58">
        <f t="shared" si="25"/>
        <v>0</v>
      </c>
      <c r="I98" s="46"/>
      <c r="J98" s="92"/>
      <c r="K98" s="160"/>
      <c r="L98" s="92"/>
      <c r="M98" s="46"/>
      <c r="N98" s="92"/>
      <c r="O98" s="84"/>
      <c r="P98" s="84"/>
      <c r="Q98" s="84"/>
      <c r="R98" s="46"/>
      <c r="S98" s="46">
        <v>-32900</v>
      </c>
      <c r="T98" s="46">
        <f t="shared" si="3"/>
        <v>0</v>
      </c>
      <c r="U98" s="84"/>
      <c r="V98" s="87"/>
      <c r="W98" s="46" t="str">
        <f t="shared" si="9"/>
        <v/>
      </c>
      <c r="X98" s="89"/>
      <c r="Y98" s="89"/>
      <c r="Z98" s="46"/>
      <c r="AA98" s="89"/>
      <c r="AB98" s="90"/>
      <c r="AC98" s="46">
        <v>-103850</v>
      </c>
      <c r="AD98" s="89">
        <v>1</v>
      </c>
      <c r="AE98" s="90"/>
      <c r="AF98" s="99">
        <v>17010</v>
      </c>
      <c r="AG98" s="90">
        <v>1</v>
      </c>
      <c r="AH98" s="46">
        <f t="shared" si="11"/>
        <v>7060</v>
      </c>
      <c r="AI98" s="90">
        <v>1</v>
      </c>
      <c r="AJ98" s="46" t="str">
        <f t="shared" si="12"/>
        <v/>
      </c>
      <c r="AK98" s="89"/>
      <c r="AL98" s="89"/>
      <c r="AM98" s="46">
        <f t="shared" si="13"/>
        <v>-6900</v>
      </c>
      <c r="AN98" s="91">
        <v>1</v>
      </c>
      <c r="AO98" s="46">
        <f t="shared" si="14"/>
        <v>59000</v>
      </c>
      <c r="AP98" s="89">
        <v>1</v>
      </c>
      <c r="AQ98" s="46" t="str">
        <f>IF(ISNUMBER(AR98),AR98*$AQ$3,"")</f>
        <v/>
      </c>
      <c r="AR98" s="89"/>
      <c r="AS98" s="46" t="str">
        <f t="shared" si="28"/>
        <v/>
      </c>
      <c r="AT98" s="89"/>
      <c r="AU98" s="46" t="str">
        <f t="shared" si="29"/>
        <v/>
      </c>
      <c r="AV98" s="89"/>
      <c r="AW98" s="46"/>
      <c r="AX98" s="89"/>
      <c r="AY98" s="46"/>
      <c r="AZ98" s="143"/>
      <c r="BA98" s="46" t="str">
        <f t="shared" si="23"/>
        <v/>
      </c>
      <c r="BB98" s="143"/>
    </row>
    <row r="99" spans="1:54" s="41" customFormat="1" ht="17.25" customHeight="1">
      <c r="A99" s="40"/>
      <c r="B99" s="152" t="s">
        <v>36</v>
      </c>
      <c r="C99" s="155">
        <v>92</v>
      </c>
      <c r="D99" s="83">
        <v>3</v>
      </c>
      <c r="E99" s="59" t="s">
        <v>204</v>
      </c>
      <c r="F99" s="146">
        <f t="shared" si="22"/>
        <v>-70125</v>
      </c>
      <c r="G99" s="58">
        <f t="shared" si="24"/>
        <v>0</v>
      </c>
      <c r="H99" s="58">
        <f t="shared" si="25"/>
        <v>0</v>
      </c>
      <c r="I99" s="46"/>
      <c r="J99" s="92"/>
      <c r="K99" s="160"/>
      <c r="L99" s="92"/>
      <c r="M99" s="46"/>
      <c r="N99" s="92"/>
      <c r="O99" s="84"/>
      <c r="P99" s="84"/>
      <c r="Q99" s="84"/>
      <c r="R99" s="46"/>
      <c r="S99" s="46">
        <v>-32900</v>
      </c>
      <c r="T99" s="46">
        <f t="shared" si="3"/>
        <v>0</v>
      </c>
      <c r="U99" s="84"/>
      <c r="V99" s="87"/>
      <c r="W99" s="46" t="str">
        <f t="shared" si="9"/>
        <v/>
      </c>
      <c r="X99" s="89"/>
      <c r="Y99" s="89"/>
      <c r="Z99" s="46"/>
      <c r="AA99" s="89"/>
      <c r="AB99" s="90"/>
      <c r="AC99" s="46">
        <v>-112405</v>
      </c>
      <c r="AD99" s="89">
        <v>1</v>
      </c>
      <c r="AE99" s="90"/>
      <c r="AF99" s="99">
        <v>16020</v>
      </c>
      <c r="AG99" s="90">
        <v>1</v>
      </c>
      <c r="AH99" s="46">
        <f t="shared" si="11"/>
        <v>7060</v>
      </c>
      <c r="AI99" s="90">
        <v>1</v>
      </c>
      <c r="AJ99" s="46" t="str">
        <f t="shared" si="12"/>
        <v/>
      </c>
      <c r="AK99" s="89"/>
      <c r="AL99" s="89"/>
      <c r="AM99" s="46">
        <f t="shared" si="13"/>
        <v>-6900</v>
      </c>
      <c r="AN99" s="91">
        <v>1</v>
      </c>
      <c r="AO99" s="46">
        <f t="shared" si="14"/>
        <v>59000</v>
      </c>
      <c r="AP99" s="89">
        <v>1</v>
      </c>
      <c r="AQ99" s="46" t="str">
        <f t="shared" si="26"/>
        <v/>
      </c>
      <c r="AR99" s="89"/>
      <c r="AS99" s="46" t="str">
        <f t="shared" si="28"/>
        <v/>
      </c>
      <c r="AT99" s="89"/>
      <c r="AU99" s="46" t="str">
        <f t="shared" si="29"/>
        <v/>
      </c>
      <c r="AV99" s="89"/>
      <c r="AW99" s="46" t="str">
        <f t="shared" si="27"/>
        <v/>
      </c>
      <c r="AX99" s="89"/>
      <c r="AY99" s="46"/>
      <c r="AZ99" s="143"/>
      <c r="BA99" s="46" t="str">
        <f t="shared" si="23"/>
        <v/>
      </c>
      <c r="BB99" s="143"/>
    </row>
    <row r="100" spans="1:54" s="41" customFormat="1" ht="17.25" customHeight="1">
      <c r="A100" s="40"/>
      <c r="B100" s="152" t="s">
        <v>87</v>
      </c>
      <c r="C100" s="155">
        <v>93</v>
      </c>
      <c r="D100" s="83">
        <v>3</v>
      </c>
      <c r="E100" s="59" t="s">
        <v>253</v>
      </c>
      <c r="F100" s="146">
        <f t="shared" si="22"/>
        <v>4038420</v>
      </c>
      <c r="G100" s="58">
        <f t="shared" si="24"/>
        <v>0</v>
      </c>
      <c r="H100" s="58">
        <f t="shared" si="25"/>
        <v>0</v>
      </c>
      <c r="I100" s="46">
        <f>1110000+1110000+1110000</f>
        <v>3330000</v>
      </c>
      <c r="J100" s="92" t="s">
        <v>1</v>
      </c>
      <c r="K100" s="160">
        <f>232500+116250</f>
        <v>348750</v>
      </c>
      <c r="L100" s="92" t="s">
        <v>5</v>
      </c>
      <c r="M100" s="46">
        <f>97500+48750</f>
        <v>146250</v>
      </c>
      <c r="N100" s="92" t="s">
        <v>5</v>
      </c>
      <c r="O100" s="84"/>
      <c r="P100" s="84"/>
      <c r="Q100" s="84"/>
      <c r="R100" s="46"/>
      <c r="S100" s="46">
        <v>-32900</v>
      </c>
      <c r="T100" s="46">
        <f t="shared" si="3"/>
        <v>0</v>
      </c>
      <c r="U100" s="84"/>
      <c r="V100" s="87"/>
      <c r="W100" s="46" t="str">
        <f t="shared" si="9"/>
        <v/>
      </c>
      <c r="X100" s="89"/>
      <c r="Y100" s="89"/>
      <c r="Z100" s="46">
        <v>22500</v>
      </c>
      <c r="AA100" s="89">
        <v>2</v>
      </c>
      <c r="AB100" s="90" t="s">
        <v>5</v>
      </c>
      <c r="AC100" s="46">
        <v>-120650</v>
      </c>
      <c r="AD100" s="89">
        <v>1</v>
      </c>
      <c r="AE100" s="89"/>
      <c r="AF100" s="99">
        <v>17010</v>
      </c>
      <c r="AG100" s="90">
        <v>1</v>
      </c>
      <c r="AH100" s="46">
        <f t="shared" si="11"/>
        <v>7060</v>
      </c>
      <c r="AI100" s="90">
        <v>1</v>
      </c>
      <c r="AJ100" s="46">
        <f t="shared" si="12"/>
        <v>268300</v>
      </c>
      <c r="AK100" s="89">
        <v>1</v>
      </c>
      <c r="AL100" s="89"/>
      <c r="AM100" s="46">
        <f t="shared" si="13"/>
        <v>-6900</v>
      </c>
      <c r="AN100" s="91">
        <v>1</v>
      </c>
      <c r="AO100" s="46">
        <f t="shared" si="14"/>
        <v>59000</v>
      </c>
      <c r="AP100" s="89">
        <v>1</v>
      </c>
      <c r="AQ100" s="46" t="str">
        <f t="shared" si="26"/>
        <v/>
      </c>
      <c r="AR100" s="89"/>
      <c r="AS100" s="46" t="str">
        <f t="shared" si="28"/>
        <v/>
      </c>
      <c r="AT100" s="89"/>
      <c r="AU100" s="46" t="str">
        <f t="shared" si="29"/>
        <v/>
      </c>
      <c r="AV100" s="89"/>
      <c r="AW100" s="46" t="str">
        <f t="shared" si="27"/>
        <v/>
      </c>
      <c r="AX100" s="89"/>
      <c r="AY100" s="46"/>
      <c r="AZ100" s="143"/>
      <c r="BA100" s="46" t="str">
        <f t="shared" si="23"/>
        <v/>
      </c>
      <c r="BB100" s="143"/>
    </row>
    <row r="101" spans="1:54" s="41" customFormat="1" ht="17.25" customHeight="1">
      <c r="A101" s="40"/>
      <c r="B101" s="152" t="s">
        <v>64</v>
      </c>
      <c r="C101" s="155">
        <v>94</v>
      </c>
      <c r="D101" s="83">
        <v>3</v>
      </c>
      <c r="E101" s="59" t="s">
        <v>236</v>
      </c>
      <c r="F101" s="146">
        <f t="shared" si="22"/>
        <v>-45470</v>
      </c>
      <c r="G101" s="58">
        <f t="shared" si="24"/>
        <v>0</v>
      </c>
      <c r="H101" s="58">
        <f t="shared" si="25"/>
        <v>0</v>
      </c>
      <c r="I101" s="46"/>
      <c r="J101" s="92"/>
      <c r="K101" s="160"/>
      <c r="L101" s="92"/>
      <c r="M101" s="46"/>
      <c r="N101" s="92"/>
      <c r="O101" s="84"/>
      <c r="P101" s="84"/>
      <c r="Q101" s="84"/>
      <c r="R101" s="46"/>
      <c r="S101" s="46"/>
      <c r="T101" s="46">
        <f t="shared" si="3"/>
        <v>0</v>
      </c>
      <c r="U101" s="84"/>
      <c r="V101" s="87"/>
      <c r="W101" s="46" t="str">
        <f t="shared" si="9"/>
        <v/>
      </c>
      <c r="X101" s="89"/>
      <c r="Y101" s="89"/>
      <c r="Z101" s="46"/>
      <c r="AA101" s="89"/>
      <c r="AB101" s="90"/>
      <c r="AC101" s="46">
        <v>-120650</v>
      </c>
      <c r="AD101" s="89">
        <v>1</v>
      </c>
      <c r="AE101" s="90"/>
      <c r="AF101" s="99">
        <v>16020</v>
      </c>
      <c r="AG101" s="90">
        <v>1</v>
      </c>
      <c r="AH101" s="46">
        <f t="shared" si="11"/>
        <v>7060</v>
      </c>
      <c r="AI101" s="90">
        <v>1</v>
      </c>
      <c r="AJ101" s="46" t="str">
        <f t="shared" si="12"/>
        <v/>
      </c>
      <c r="AK101" s="89"/>
      <c r="AL101" s="89"/>
      <c r="AM101" s="46">
        <f t="shared" si="13"/>
        <v>-6900</v>
      </c>
      <c r="AN101" s="91">
        <v>1</v>
      </c>
      <c r="AO101" s="46">
        <f t="shared" si="14"/>
        <v>59000</v>
      </c>
      <c r="AP101" s="89">
        <v>1</v>
      </c>
      <c r="AQ101" s="46" t="str">
        <f t="shared" si="26"/>
        <v/>
      </c>
      <c r="AR101" s="89"/>
      <c r="AS101" s="46" t="str">
        <f t="shared" si="28"/>
        <v/>
      </c>
      <c r="AT101" s="89"/>
      <c r="AU101" s="46" t="str">
        <f t="shared" si="29"/>
        <v/>
      </c>
      <c r="AV101" s="89"/>
      <c r="AW101" s="46" t="str">
        <f t="shared" si="27"/>
        <v/>
      </c>
      <c r="AX101" s="89"/>
      <c r="AY101" s="46"/>
      <c r="AZ101" s="143"/>
      <c r="BA101" s="46" t="str">
        <f t="shared" si="23"/>
        <v/>
      </c>
      <c r="BB101" s="143"/>
    </row>
    <row r="102" spans="1:54" s="41" customFormat="1" ht="17.25" customHeight="1">
      <c r="A102" s="40"/>
      <c r="B102" s="152" t="s">
        <v>60</v>
      </c>
      <c r="C102" s="155">
        <v>95</v>
      </c>
      <c r="D102" s="83">
        <v>3</v>
      </c>
      <c r="E102" s="59" t="s">
        <v>240</v>
      </c>
      <c r="F102" s="146">
        <f t="shared" si="22"/>
        <v>-103560</v>
      </c>
      <c r="G102" s="58">
        <f t="shared" si="24"/>
        <v>0</v>
      </c>
      <c r="H102" s="58">
        <f t="shared" si="25"/>
        <v>0</v>
      </c>
      <c r="I102" s="46"/>
      <c r="J102" s="92"/>
      <c r="K102" s="160"/>
      <c r="L102" s="92"/>
      <c r="M102" s="46"/>
      <c r="N102" s="92"/>
      <c r="O102" s="84"/>
      <c r="P102" s="84"/>
      <c r="Q102" s="84"/>
      <c r="R102" s="46"/>
      <c r="S102" s="46">
        <v>-32900</v>
      </c>
      <c r="T102" s="46">
        <f t="shared" si="3"/>
        <v>0</v>
      </c>
      <c r="U102" s="84"/>
      <c r="V102" s="87"/>
      <c r="W102" s="46" t="str">
        <f t="shared" si="9"/>
        <v/>
      </c>
      <c r="X102" s="89"/>
      <c r="Y102" s="89"/>
      <c r="Z102" s="46"/>
      <c r="AA102" s="89"/>
      <c r="AB102" s="90"/>
      <c r="AC102" s="46">
        <v>-146830</v>
      </c>
      <c r="AD102" s="89">
        <v>1</v>
      </c>
      <c r="AE102" s="90"/>
      <c r="AF102" s="99">
        <v>17010</v>
      </c>
      <c r="AG102" s="90">
        <v>1</v>
      </c>
      <c r="AH102" s="46">
        <f t="shared" si="11"/>
        <v>7060</v>
      </c>
      <c r="AI102" s="90">
        <v>1</v>
      </c>
      <c r="AJ102" s="46" t="str">
        <f t="shared" si="12"/>
        <v/>
      </c>
      <c r="AK102" s="89"/>
      <c r="AL102" s="89"/>
      <c r="AM102" s="46">
        <f t="shared" si="13"/>
        <v>-6900</v>
      </c>
      <c r="AN102" s="91">
        <v>1</v>
      </c>
      <c r="AO102" s="46">
        <f t="shared" si="14"/>
        <v>59000</v>
      </c>
      <c r="AP102" s="89">
        <v>1</v>
      </c>
      <c r="AQ102" s="46" t="str">
        <f t="shared" si="26"/>
        <v/>
      </c>
      <c r="AR102" s="89"/>
      <c r="AS102" s="46" t="str">
        <f t="shared" si="28"/>
        <v/>
      </c>
      <c r="AT102" s="89"/>
      <c r="AU102" s="46" t="str">
        <f t="shared" si="29"/>
        <v/>
      </c>
      <c r="AV102" s="89"/>
      <c r="AW102" s="46" t="str">
        <f t="shared" si="27"/>
        <v/>
      </c>
      <c r="AX102" s="89"/>
      <c r="AY102" s="46"/>
      <c r="AZ102" s="143"/>
      <c r="BA102" s="46" t="str">
        <f t="shared" si="23"/>
        <v/>
      </c>
      <c r="BB102" s="143"/>
    </row>
    <row r="103" spans="1:54" s="41" customFormat="1" ht="17.25" customHeight="1">
      <c r="A103" s="40"/>
      <c r="B103" s="152" t="s">
        <v>79</v>
      </c>
      <c r="C103" s="155">
        <v>96</v>
      </c>
      <c r="D103" s="83">
        <v>3</v>
      </c>
      <c r="E103" s="59" t="s">
        <v>192</v>
      </c>
      <c r="F103" s="146">
        <f t="shared" si="22"/>
        <v>-99855</v>
      </c>
      <c r="G103" s="58">
        <f t="shared" si="24"/>
        <v>0</v>
      </c>
      <c r="H103" s="58">
        <f t="shared" si="25"/>
        <v>0</v>
      </c>
      <c r="I103" s="46"/>
      <c r="J103" s="92"/>
      <c r="K103" s="160"/>
      <c r="L103" s="92"/>
      <c r="M103" s="46"/>
      <c r="N103" s="92"/>
      <c r="O103" s="84"/>
      <c r="P103" s="84"/>
      <c r="Q103" s="84"/>
      <c r="R103" s="46"/>
      <c r="S103" s="46">
        <v>-11200</v>
      </c>
      <c r="T103" s="46">
        <f t="shared" si="3"/>
        <v>0</v>
      </c>
      <c r="U103" s="84"/>
      <c r="V103" s="87"/>
      <c r="W103" s="46" t="str">
        <f t="shared" si="9"/>
        <v/>
      </c>
      <c r="X103" s="89"/>
      <c r="Y103" s="89"/>
      <c r="Z103" s="46"/>
      <c r="AA103" s="89"/>
      <c r="AB103" s="90"/>
      <c r="AC103" s="46">
        <v>-163835</v>
      </c>
      <c r="AD103" s="89">
        <v>1</v>
      </c>
      <c r="AE103" s="90"/>
      <c r="AF103" s="99">
        <v>16020</v>
      </c>
      <c r="AG103" s="90">
        <v>1</v>
      </c>
      <c r="AH103" s="46">
        <f t="shared" si="11"/>
        <v>7060</v>
      </c>
      <c r="AI103" s="90">
        <v>1</v>
      </c>
      <c r="AJ103" s="46" t="str">
        <f t="shared" si="12"/>
        <v/>
      </c>
      <c r="AK103" s="89"/>
      <c r="AL103" s="89"/>
      <c r="AM103" s="46">
        <f t="shared" si="13"/>
        <v>-6900</v>
      </c>
      <c r="AN103" s="91">
        <v>1</v>
      </c>
      <c r="AO103" s="46">
        <f t="shared" si="14"/>
        <v>59000</v>
      </c>
      <c r="AP103" s="89">
        <v>1</v>
      </c>
      <c r="AQ103" s="46" t="str">
        <f t="shared" si="26"/>
        <v/>
      </c>
      <c r="AR103" s="89"/>
      <c r="AS103" s="46" t="str">
        <f t="shared" si="28"/>
        <v/>
      </c>
      <c r="AT103" s="89"/>
      <c r="AU103" s="46" t="str">
        <f t="shared" si="29"/>
        <v/>
      </c>
      <c r="AV103" s="89"/>
      <c r="AW103" s="46" t="str">
        <f t="shared" si="27"/>
        <v/>
      </c>
      <c r="AX103" s="89"/>
      <c r="AY103" s="46"/>
      <c r="AZ103" s="143"/>
      <c r="BA103" s="46" t="str">
        <f t="shared" si="23"/>
        <v/>
      </c>
      <c r="BB103" s="143"/>
    </row>
    <row r="104" spans="1:54" s="41" customFormat="1" ht="17.25" customHeight="1">
      <c r="A104" s="40"/>
      <c r="B104" s="152" t="s">
        <v>113</v>
      </c>
      <c r="C104" s="155">
        <v>97</v>
      </c>
      <c r="D104" s="83">
        <v>3</v>
      </c>
      <c r="E104" s="59" t="s">
        <v>220</v>
      </c>
      <c r="F104" s="146">
        <f t="shared" si="22"/>
        <v>-30025</v>
      </c>
      <c r="G104" s="58">
        <f t="shared" si="24"/>
        <v>0</v>
      </c>
      <c r="H104" s="58">
        <f t="shared" si="25"/>
        <v>0</v>
      </c>
      <c r="I104" s="46"/>
      <c r="J104" s="92"/>
      <c r="K104" s="160"/>
      <c r="L104" s="92"/>
      <c r="M104" s="46"/>
      <c r="N104" s="92"/>
      <c r="O104" s="84"/>
      <c r="P104" s="84"/>
      <c r="Q104" s="84"/>
      <c r="R104" s="46"/>
      <c r="S104" s="46"/>
      <c r="T104" s="46">
        <f t="shared" si="3"/>
        <v>0</v>
      </c>
      <c r="U104" s="84"/>
      <c r="V104" s="87"/>
      <c r="W104" s="46" t="str">
        <f t="shared" si="9"/>
        <v/>
      </c>
      <c r="X104" s="89"/>
      <c r="Y104" s="89"/>
      <c r="Z104" s="46"/>
      <c r="AA104" s="89"/>
      <c r="AB104" s="90"/>
      <c r="AC104" s="46">
        <v>-105205</v>
      </c>
      <c r="AD104" s="89">
        <v>1</v>
      </c>
      <c r="AE104" s="89"/>
      <c r="AF104" s="99">
        <v>16020</v>
      </c>
      <c r="AG104" s="90">
        <v>1</v>
      </c>
      <c r="AH104" s="46">
        <f t="shared" si="11"/>
        <v>7060</v>
      </c>
      <c r="AI104" s="90">
        <v>1</v>
      </c>
      <c r="AJ104" s="46" t="str">
        <f t="shared" si="12"/>
        <v/>
      </c>
      <c r="AK104" s="89"/>
      <c r="AL104" s="89"/>
      <c r="AM104" s="46">
        <f t="shared" si="13"/>
        <v>-6900</v>
      </c>
      <c r="AN104" s="91">
        <v>1</v>
      </c>
      <c r="AO104" s="46">
        <f t="shared" si="14"/>
        <v>59000</v>
      </c>
      <c r="AP104" s="89">
        <v>1</v>
      </c>
      <c r="AQ104" s="46" t="str">
        <f t="shared" si="26"/>
        <v/>
      </c>
      <c r="AR104" s="89"/>
      <c r="AS104" s="46" t="str">
        <f t="shared" si="28"/>
        <v/>
      </c>
      <c r="AT104" s="89"/>
      <c r="AU104" s="46" t="str">
        <f t="shared" si="29"/>
        <v/>
      </c>
      <c r="AV104" s="89"/>
      <c r="AW104" s="46" t="str">
        <f t="shared" si="27"/>
        <v/>
      </c>
      <c r="AX104" s="89"/>
      <c r="AY104" s="46"/>
      <c r="AZ104" s="143"/>
      <c r="BA104" s="46" t="str">
        <f t="shared" si="23"/>
        <v/>
      </c>
      <c r="BB104" s="143"/>
    </row>
    <row r="105" spans="1:54" s="41" customFormat="1" ht="17.25" customHeight="1">
      <c r="A105" s="40"/>
      <c r="B105" s="152" t="s">
        <v>69</v>
      </c>
      <c r="C105" s="155">
        <v>98</v>
      </c>
      <c r="D105" s="83">
        <v>3</v>
      </c>
      <c r="E105" s="59" t="s">
        <v>196</v>
      </c>
      <c r="F105" s="146">
        <f t="shared" si="22"/>
        <v>-101235</v>
      </c>
      <c r="G105" s="58">
        <f t="shared" si="24"/>
        <v>0</v>
      </c>
      <c r="H105" s="58">
        <f t="shared" si="25"/>
        <v>0</v>
      </c>
      <c r="I105" s="46"/>
      <c r="J105" s="92"/>
      <c r="K105" s="160"/>
      <c r="L105" s="92"/>
      <c r="M105" s="46"/>
      <c r="N105" s="92"/>
      <c r="O105" s="84"/>
      <c r="P105" s="84"/>
      <c r="Q105" s="84"/>
      <c r="R105" s="46"/>
      <c r="S105" s="46">
        <v>-32900</v>
      </c>
      <c r="T105" s="46">
        <f t="shared" si="3"/>
        <v>0</v>
      </c>
      <c r="U105" s="84"/>
      <c r="V105" s="87"/>
      <c r="W105" s="46" t="str">
        <f t="shared" si="9"/>
        <v/>
      </c>
      <c r="X105" s="89"/>
      <c r="Y105" s="89"/>
      <c r="Z105" s="46"/>
      <c r="AA105" s="89"/>
      <c r="AB105" s="90"/>
      <c r="AC105" s="46">
        <v>-144505</v>
      </c>
      <c r="AD105" s="89">
        <v>1</v>
      </c>
      <c r="AE105" s="90"/>
      <c r="AF105" s="99">
        <v>17010</v>
      </c>
      <c r="AG105" s="90">
        <v>1</v>
      </c>
      <c r="AH105" s="46">
        <f t="shared" si="11"/>
        <v>7060</v>
      </c>
      <c r="AI105" s="90">
        <v>1</v>
      </c>
      <c r="AJ105" s="46" t="str">
        <f t="shared" si="12"/>
        <v/>
      </c>
      <c r="AK105" s="89"/>
      <c r="AL105" s="89"/>
      <c r="AM105" s="46">
        <f t="shared" si="13"/>
        <v>-6900</v>
      </c>
      <c r="AN105" s="91">
        <v>1</v>
      </c>
      <c r="AO105" s="46">
        <f t="shared" si="14"/>
        <v>59000</v>
      </c>
      <c r="AP105" s="89">
        <v>1</v>
      </c>
      <c r="AQ105" s="46" t="str">
        <f t="shared" si="26"/>
        <v/>
      </c>
      <c r="AR105" s="89"/>
      <c r="AS105" s="46" t="str">
        <f t="shared" si="28"/>
        <v/>
      </c>
      <c r="AT105" s="89"/>
      <c r="AU105" s="46" t="str">
        <f t="shared" si="29"/>
        <v/>
      </c>
      <c r="AV105" s="89"/>
      <c r="AW105" s="46" t="str">
        <f t="shared" si="27"/>
        <v/>
      </c>
      <c r="AX105" s="89"/>
      <c r="AY105" s="46"/>
      <c r="AZ105" s="143"/>
      <c r="BA105" s="46" t="str">
        <f t="shared" si="23"/>
        <v/>
      </c>
      <c r="BB105" s="143"/>
    </row>
    <row r="106" spans="1:54" s="41" customFormat="1" ht="17.25" customHeight="1">
      <c r="A106" s="40"/>
      <c r="B106" s="152" t="s">
        <v>42</v>
      </c>
      <c r="C106" s="155">
        <v>99</v>
      </c>
      <c r="D106" s="83">
        <v>3</v>
      </c>
      <c r="E106" s="59" t="s">
        <v>197</v>
      </c>
      <c r="F106" s="146">
        <f t="shared" si="22"/>
        <v>325780</v>
      </c>
      <c r="G106" s="58">
        <f t="shared" si="24"/>
        <v>0</v>
      </c>
      <c r="H106" s="58">
        <f t="shared" si="25"/>
        <v>0</v>
      </c>
      <c r="I106" s="46"/>
      <c r="J106" s="92"/>
      <c r="K106" s="160">
        <v>116250</v>
      </c>
      <c r="L106" s="92" t="s">
        <v>155</v>
      </c>
      <c r="M106" s="46"/>
      <c r="N106" s="92"/>
      <c r="O106" s="84"/>
      <c r="P106" s="84"/>
      <c r="Q106" s="84"/>
      <c r="R106" s="46"/>
      <c r="S106" s="46">
        <v>-32900</v>
      </c>
      <c r="T106" s="46">
        <f t="shared" si="3"/>
        <v>0</v>
      </c>
      <c r="U106" s="84"/>
      <c r="V106" s="87"/>
      <c r="W106" s="46" t="str">
        <f t="shared" si="9"/>
        <v/>
      </c>
      <c r="X106" s="89"/>
      <c r="Y106" s="89"/>
      <c r="Z106" s="46">
        <v>7500</v>
      </c>
      <c r="AA106" s="89">
        <v>1</v>
      </c>
      <c r="AB106" s="90" t="s">
        <v>155</v>
      </c>
      <c r="AC106" s="46">
        <v>-108550</v>
      </c>
      <c r="AD106" s="89">
        <v>1</v>
      </c>
      <c r="AE106" s="89"/>
      <c r="AF106" s="99">
        <v>16020</v>
      </c>
      <c r="AG106" s="90">
        <v>1</v>
      </c>
      <c r="AH106" s="46">
        <f t="shared" si="11"/>
        <v>7060</v>
      </c>
      <c r="AI106" s="90">
        <v>1</v>
      </c>
      <c r="AJ106" s="46">
        <f t="shared" si="12"/>
        <v>268300</v>
      </c>
      <c r="AK106" s="89">
        <v>1</v>
      </c>
      <c r="AL106" s="89"/>
      <c r="AM106" s="46">
        <f t="shared" si="13"/>
        <v>-6900</v>
      </c>
      <c r="AN106" s="91">
        <v>1</v>
      </c>
      <c r="AO106" s="46">
        <f t="shared" si="14"/>
        <v>59000</v>
      </c>
      <c r="AP106" s="89">
        <v>1</v>
      </c>
      <c r="AQ106" s="46" t="str">
        <f t="shared" si="26"/>
        <v/>
      </c>
      <c r="AR106" s="89"/>
      <c r="AS106" s="46" t="str">
        <f t="shared" si="28"/>
        <v/>
      </c>
      <c r="AT106" s="89"/>
      <c r="AU106" s="46" t="str">
        <f t="shared" si="29"/>
        <v/>
      </c>
      <c r="AV106" s="89"/>
      <c r="AW106" s="46" t="str">
        <f t="shared" si="27"/>
        <v/>
      </c>
      <c r="AX106" s="89"/>
      <c r="AY106" s="46"/>
      <c r="AZ106" s="143"/>
      <c r="BA106" s="46" t="str">
        <f t="shared" si="23"/>
        <v/>
      </c>
      <c r="BB106" s="143"/>
    </row>
    <row r="107" spans="1:54" s="41" customFormat="1" ht="17.25" customHeight="1">
      <c r="A107" s="40"/>
      <c r="B107" s="152" t="s">
        <v>99</v>
      </c>
      <c r="C107" s="155">
        <v>100</v>
      </c>
      <c r="D107" s="83">
        <v>3</v>
      </c>
      <c r="E107" s="59" t="s">
        <v>184</v>
      </c>
      <c r="F107" s="146">
        <f t="shared" si="22"/>
        <v>-71460</v>
      </c>
      <c r="G107" s="58">
        <f t="shared" si="24"/>
        <v>0</v>
      </c>
      <c r="H107" s="58">
        <f t="shared" si="25"/>
        <v>0</v>
      </c>
      <c r="I107" s="46"/>
      <c r="J107" s="92"/>
      <c r="K107" s="160"/>
      <c r="L107" s="92"/>
      <c r="M107" s="46"/>
      <c r="N107" s="92"/>
      <c r="O107" s="84"/>
      <c r="P107" s="84"/>
      <c r="Q107" s="84"/>
      <c r="R107" s="46"/>
      <c r="S107" s="46">
        <v>-32900</v>
      </c>
      <c r="T107" s="46">
        <f t="shared" si="3"/>
        <v>0</v>
      </c>
      <c r="U107" s="84"/>
      <c r="V107" s="87"/>
      <c r="W107" s="46" t="str">
        <f t="shared" si="9"/>
        <v/>
      </c>
      <c r="X107" s="89"/>
      <c r="Y107" s="89"/>
      <c r="Z107" s="46"/>
      <c r="AA107" s="89"/>
      <c r="AB107" s="90"/>
      <c r="AC107" s="46">
        <v>-114730</v>
      </c>
      <c r="AD107" s="89">
        <v>1</v>
      </c>
      <c r="AE107" s="90"/>
      <c r="AF107" s="99">
        <v>17010</v>
      </c>
      <c r="AG107" s="90">
        <v>1</v>
      </c>
      <c r="AH107" s="46">
        <f t="shared" si="11"/>
        <v>7060</v>
      </c>
      <c r="AI107" s="90">
        <v>1</v>
      </c>
      <c r="AJ107" s="46" t="str">
        <f t="shared" si="12"/>
        <v/>
      </c>
      <c r="AK107" s="89"/>
      <c r="AL107" s="89"/>
      <c r="AM107" s="46">
        <f t="shared" si="13"/>
        <v>-6900</v>
      </c>
      <c r="AN107" s="91">
        <v>1</v>
      </c>
      <c r="AO107" s="46">
        <f t="shared" si="14"/>
        <v>59000</v>
      </c>
      <c r="AP107" s="89">
        <v>1</v>
      </c>
      <c r="AQ107" s="46" t="str">
        <f t="shared" si="26"/>
        <v/>
      </c>
      <c r="AR107" s="89"/>
      <c r="AS107" s="46" t="str">
        <f t="shared" si="28"/>
        <v/>
      </c>
      <c r="AT107" s="89"/>
      <c r="AU107" s="46" t="str">
        <f t="shared" si="29"/>
        <v/>
      </c>
      <c r="AV107" s="89"/>
      <c r="AW107" s="46" t="str">
        <f t="shared" si="27"/>
        <v/>
      </c>
      <c r="AX107" s="89"/>
      <c r="AY107" s="46"/>
      <c r="AZ107" s="143"/>
      <c r="BA107" s="46" t="str">
        <f t="shared" si="23"/>
        <v/>
      </c>
      <c r="BB107" s="143"/>
    </row>
    <row r="108" spans="1:54" s="41" customFormat="1" ht="17.25" customHeight="1">
      <c r="A108" s="40"/>
      <c r="B108" s="152" t="s">
        <v>58</v>
      </c>
      <c r="C108" s="155">
        <v>101</v>
      </c>
      <c r="D108" s="83">
        <v>3</v>
      </c>
      <c r="E108" s="59" t="s">
        <v>186</v>
      </c>
      <c r="F108" s="146">
        <f t="shared" si="22"/>
        <v>204675</v>
      </c>
      <c r="G108" s="58">
        <f t="shared" si="24"/>
        <v>0</v>
      </c>
      <c r="H108" s="58">
        <f t="shared" si="25"/>
        <v>0</v>
      </c>
      <c r="I108" s="46"/>
      <c r="J108" s="92"/>
      <c r="K108" s="160"/>
      <c r="L108" s="92"/>
      <c r="M108" s="46"/>
      <c r="N108" s="92"/>
      <c r="O108" s="84"/>
      <c r="P108" s="84"/>
      <c r="Q108" s="84"/>
      <c r="R108" s="46"/>
      <c r="S108" s="46"/>
      <c r="T108" s="46">
        <f t="shared" si="3"/>
        <v>0</v>
      </c>
      <c r="U108" s="84"/>
      <c r="V108" s="87"/>
      <c r="W108" s="46" t="str">
        <f t="shared" si="9"/>
        <v/>
      </c>
      <c r="X108" s="89"/>
      <c r="Y108" s="89"/>
      <c r="Z108" s="46"/>
      <c r="AA108" s="89"/>
      <c r="AB108" s="90"/>
      <c r="AC108" s="46">
        <v>-138805</v>
      </c>
      <c r="AD108" s="89">
        <v>1</v>
      </c>
      <c r="AE108" s="89"/>
      <c r="AF108" s="99">
        <v>16020</v>
      </c>
      <c r="AG108" s="90">
        <v>1</v>
      </c>
      <c r="AH108" s="46">
        <f t="shared" si="11"/>
        <v>7060</v>
      </c>
      <c r="AI108" s="90">
        <v>1</v>
      </c>
      <c r="AJ108" s="46">
        <f t="shared" si="12"/>
        <v>268300</v>
      </c>
      <c r="AK108" s="89">
        <v>1</v>
      </c>
      <c r="AL108" s="89"/>
      <c r="AM108" s="46">
        <f t="shared" si="13"/>
        <v>-6900</v>
      </c>
      <c r="AN108" s="91">
        <v>1</v>
      </c>
      <c r="AO108" s="46">
        <f t="shared" si="14"/>
        <v>59000</v>
      </c>
      <c r="AP108" s="89">
        <v>1</v>
      </c>
      <c r="AQ108" s="46" t="str">
        <f t="shared" si="26"/>
        <v/>
      </c>
      <c r="AR108" s="89"/>
      <c r="AS108" s="46" t="str">
        <f t="shared" si="28"/>
        <v/>
      </c>
      <c r="AT108" s="89"/>
      <c r="AU108" s="46" t="str">
        <f t="shared" si="29"/>
        <v/>
      </c>
      <c r="AV108" s="89"/>
      <c r="AW108" s="46" t="str">
        <f t="shared" si="27"/>
        <v/>
      </c>
      <c r="AX108" s="89"/>
      <c r="AY108" s="46"/>
      <c r="AZ108" s="143"/>
      <c r="BA108" s="46" t="str">
        <f t="shared" si="23"/>
        <v/>
      </c>
      <c r="BB108" s="143"/>
    </row>
    <row r="109" spans="1:54" s="41" customFormat="1" ht="17.25" customHeight="1">
      <c r="A109" s="40"/>
      <c r="B109" s="152" t="s">
        <v>76</v>
      </c>
      <c r="C109" s="155">
        <v>102</v>
      </c>
      <c r="D109" s="83">
        <v>3</v>
      </c>
      <c r="E109" s="59" t="s">
        <v>212</v>
      </c>
      <c r="F109" s="146">
        <f t="shared" si="22"/>
        <v>-88195</v>
      </c>
      <c r="G109" s="58">
        <f t="shared" si="24"/>
        <v>0</v>
      </c>
      <c r="H109" s="58">
        <f t="shared" si="25"/>
        <v>0</v>
      </c>
      <c r="I109" s="46"/>
      <c r="J109" s="92"/>
      <c r="K109" s="160"/>
      <c r="L109" s="92"/>
      <c r="M109" s="46"/>
      <c r="N109" s="92"/>
      <c r="O109" s="84"/>
      <c r="P109" s="84"/>
      <c r="Q109" s="84"/>
      <c r="R109" s="46"/>
      <c r="S109" s="46">
        <v>-32900</v>
      </c>
      <c r="T109" s="46">
        <f t="shared" si="3"/>
        <v>0</v>
      </c>
      <c r="U109" s="84"/>
      <c r="V109" s="87"/>
      <c r="W109" s="46" t="str">
        <f t="shared" si="9"/>
        <v/>
      </c>
      <c r="X109" s="89"/>
      <c r="Y109" s="89"/>
      <c r="Z109" s="46"/>
      <c r="AA109" s="89"/>
      <c r="AB109" s="90"/>
      <c r="AC109" s="46">
        <v>-131465</v>
      </c>
      <c r="AD109" s="89">
        <v>1</v>
      </c>
      <c r="AE109" s="90"/>
      <c r="AF109" s="99">
        <v>17010</v>
      </c>
      <c r="AG109" s="90">
        <v>1</v>
      </c>
      <c r="AH109" s="46">
        <f t="shared" si="11"/>
        <v>7060</v>
      </c>
      <c r="AI109" s="90">
        <v>1</v>
      </c>
      <c r="AJ109" s="46" t="str">
        <f t="shared" si="12"/>
        <v/>
      </c>
      <c r="AK109" s="89"/>
      <c r="AL109" s="89"/>
      <c r="AM109" s="46">
        <f t="shared" si="13"/>
        <v>-6900</v>
      </c>
      <c r="AN109" s="91">
        <v>1</v>
      </c>
      <c r="AO109" s="46">
        <f t="shared" si="14"/>
        <v>59000</v>
      </c>
      <c r="AP109" s="89">
        <v>1</v>
      </c>
      <c r="AQ109" s="46" t="str">
        <f t="shared" si="26"/>
        <v/>
      </c>
      <c r="AR109" s="89"/>
      <c r="AS109" s="46" t="str">
        <f t="shared" si="28"/>
        <v/>
      </c>
      <c r="AT109" s="89"/>
      <c r="AU109" s="46" t="str">
        <f t="shared" si="29"/>
        <v/>
      </c>
      <c r="AV109" s="89"/>
      <c r="AW109" s="46" t="str">
        <f t="shared" si="27"/>
        <v/>
      </c>
      <c r="AX109" s="89"/>
      <c r="AY109" s="46"/>
      <c r="AZ109" s="143"/>
      <c r="BA109" s="46" t="str">
        <f t="shared" si="23"/>
        <v/>
      </c>
      <c r="BB109" s="143"/>
    </row>
    <row r="110" spans="1:54" s="41" customFormat="1" ht="17.25" customHeight="1">
      <c r="A110" s="40"/>
      <c r="B110" s="152" t="s">
        <v>43</v>
      </c>
      <c r="C110" s="155">
        <v>103</v>
      </c>
      <c r="D110" s="83">
        <v>3</v>
      </c>
      <c r="E110" s="59" t="s">
        <v>190</v>
      </c>
      <c r="F110" s="146">
        <f t="shared" si="22"/>
        <v>-89570</v>
      </c>
      <c r="G110" s="58">
        <f t="shared" si="24"/>
        <v>0</v>
      </c>
      <c r="H110" s="58">
        <f t="shared" si="25"/>
        <v>0</v>
      </c>
      <c r="I110" s="46"/>
      <c r="J110" s="92"/>
      <c r="K110" s="160"/>
      <c r="L110" s="92"/>
      <c r="M110" s="46"/>
      <c r="N110" s="92"/>
      <c r="O110" s="84"/>
      <c r="P110" s="84"/>
      <c r="Q110" s="84"/>
      <c r="R110" s="46"/>
      <c r="S110" s="46">
        <v>-32900</v>
      </c>
      <c r="T110" s="46">
        <f t="shared" si="3"/>
        <v>0</v>
      </c>
      <c r="U110" s="84"/>
      <c r="V110" s="87"/>
      <c r="W110" s="46" t="str">
        <f t="shared" si="9"/>
        <v/>
      </c>
      <c r="X110" s="89"/>
      <c r="Y110" s="89"/>
      <c r="Z110" s="46"/>
      <c r="AA110" s="89"/>
      <c r="AB110" s="90"/>
      <c r="AC110" s="46">
        <v>-131850</v>
      </c>
      <c r="AD110" s="89">
        <v>1</v>
      </c>
      <c r="AE110" s="90"/>
      <c r="AF110" s="99">
        <v>16020</v>
      </c>
      <c r="AG110" s="90">
        <v>1</v>
      </c>
      <c r="AH110" s="46">
        <f t="shared" si="11"/>
        <v>7060</v>
      </c>
      <c r="AI110" s="90">
        <v>1</v>
      </c>
      <c r="AJ110" s="46" t="str">
        <f t="shared" si="12"/>
        <v/>
      </c>
      <c r="AK110" s="89"/>
      <c r="AL110" s="89"/>
      <c r="AM110" s="46">
        <f t="shared" si="13"/>
        <v>-6900</v>
      </c>
      <c r="AN110" s="91">
        <v>1</v>
      </c>
      <c r="AO110" s="46">
        <f t="shared" si="14"/>
        <v>59000</v>
      </c>
      <c r="AP110" s="89">
        <v>1</v>
      </c>
      <c r="AQ110" s="46" t="str">
        <f t="shared" si="26"/>
        <v/>
      </c>
      <c r="AR110" s="89"/>
      <c r="AS110" s="46" t="str">
        <f t="shared" si="28"/>
        <v/>
      </c>
      <c r="AT110" s="89"/>
      <c r="AU110" s="46" t="str">
        <f t="shared" si="29"/>
        <v/>
      </c>
      <c r="AV110" s="89"/>
      <c r="AW110" s="46" t="str">
        <f t="shared" si="27"/>
        <v/>
      </c>
      <c r="AX110" s="89"/>
      <c r="AY110" s="46"/>
      <c r="AZ110" s="143"/>
      <c r="BA110" s="46" t="str">
        <f t="shared" si="23"/>
        <v/>
      </c>
      <c r="BB110" s="143"/>
    </row>
    <row r="111" spans="1:54" s="41" customFormat="1" ht="17.25" customHeight="1">
      <c r="A111" s="40"/>
      <c r="B111" s="152" t="s">
        <v>70</v>
      </c>
      <c r="C111" s="155">
        <v>104</v>
      </c>
      <c r="D111" s="83">
        <v>3</v>
      </c>
      <c r="E111" s="59" t="s">
        <v>218</v>
      </c>
      <c r="F111" s="146">
        <f t="shared" si="22"/>
        <v>-125720</v>
      </c>
      <c r="G111" s="58">
        <f t="shared" si="24"/>
        <v>0</v>
      </c>
      <c r="H111" s="58">
        <f t="shared" si="25"/>
        <v>0</v>
      </c>
      <c r="I111" s="46"/>
      <c r="J111" s="92"/>
      <c r="K111" s="160"/>
      <c r="L111" s="92"/>
      <c r="M111" s="46"/>
      <c r="N111" s="92"/>
      <c r="O111" s="84"/>
      <c r="P111" s="84"/>
      <c r="Q111" s="84"/>
      <c r="R111" s="46"/>
      <c r="S111" s="46">
        <v>-32900</v>
      </c>
      <c r="T111" s="46">
        <f t="shared" si="3"/>
        <v>0</v>
      </c>
      <c r="U111" s="84"/>
      <c r="V111" s="87"/>
      <c r="W111" s="46" t="str">
        <f t="shared" si="9"/>
        <v/>
      </c>
      <c r="X111" s="89"/>
      <c r="Y111" s="89"/>
      <c r="Z111" s="46"/>
      <c r="AA111" s="89"/>
      <c r="AB111" s="90"/>
      <c r="AC111" s="46">
        <v>-168990</v>
      </c>
      <c r="AD111" s="89">
        <v>1</v>
      </c>
      <c r="AE111" s="90"/>
      <c r="AF111" s="99">
        <v>17010</v>
      </c>
      <c r="AG111" s="90">
        <v>1</v>
      </c>
      <c r="AH111" s="46">
        <f t="shared" si="11"/>
        <v>7060</v>
      </c>
      <c r="AI111" s="90">
        <v>1</v>
      </c>
      <c r="AJ111" s="46" t="str">
        <f t="shared" si="12"/>
        <v/>
      </c>
      <c r="AK111" s="89"/>
      <c r="AL111" s="89"/>
      <c r="AM111" s="46">
        <f t="shared" si="13"/>
        <v>-6900</v>
      </c>
      <c r="AN111" s="91">
        <v>1</v>
      </c>
      <c r="AO111" s="46">
        <f t="shared" si="14"/>
        <v>59000</v>
      </c>
      <c r="AP111" s="89">
        <v>1</v>
      </c>
      <c r="AQ111" s="46" t="str">
        <f t="shared" si="26"/>
        <v/>
      </c>
      <c r="AR111" s="89"/>
      <c r="AS111" s="46" t="str">
        <f t="shared" si="28"/>
        <v/>
      </c>
      <c r="AT111" s="89"/>
      <c r="AU111" s="46" t="str">
        <f t="shared" si="29"/>
        <v/>
      </c>
      <c r="AV111" s="89"/>
      <c r="AW111" s="46" t="str">
        <f t="shared" si="27"/>
        <v/>
      </c>
      <c r="AX111" s="89"/>
      <c r="AY111" s="46"/>
      <c r="AZ111" s="143"/>
      <c r="BA111" s="46" t="str">
        <f t="shared" si="23"/>
        <v/>
      </c>
      <c r="BB111" s="143"/>
    </row>
    <row r="112" spans="1:54" s="41" customFormat="1" ht="17.25" customHeight="1">
      <c r="A112" s="40"/>
      <c r="B112" s="152" t="s">
        <v>95</v>
      </c>
      <c r="C112" s="155">
        <v>105</v>
      </c>
      <c r="D112" s="83">
        <v>3</v>
      </c>
      <c r="E112" s="59" t="s">
        <v>163</v>
      </c>
      <c r="F112" s="146">
        <f t="shared" si="22"/>
        <v>-77435</v>
      </c>
      <c r="G112" s="58">
        <f t="shared" si="24"/>
        <v>0</v>
      </c>
      <c r="H112" s="58">
        <f t="shared" si="25"/>
        <v>0</v>
      </c>
      <c r="I112" s="46"/>
      <c r="J112" s="92"/>
      <c r="K112" s="160"/>
      <c r="L112" s="92"/>
      <c r="M112" s="46"/>
      <c r="N112" s="92"/>
      <c r="O112" s="84"/>
      <c r="P112" s="84"/>
      <c r="Q112" s="84"/>
      <c r="R112" s="46"/>
      <c r="S112" s="46">
        <v>-32900</v>
      </c>
      <c r="T112" s="46">
        <f t="shared" si="3"/>
        <v>0</v>
      </c>
      <c r="U112" s="84"/>
      <c r="V112" s="87"/>
      <c r="W112" s="46" t="str">
        <f t="shared" si="9"/>
        <v/>
      </c>
      <c r="X112" s="89"/>
      <c r="Y112" s="89"/>
      <c r="Z112" s="46"/>
      <c r="AA112" s="89"/>
      <c r="AB112" s="90"/>
      <c r="AC112" s="46">
        <v>-120705</v>
      </c>
      <c r="AD112" s="89">
        <v>1</v>
      </c>
      <c r="AE112" s="89"/>
      <c r="AF112" s="99">
        <v>17010</v>
      </c>
      <c r="AG112" s="90">
        <v>1</v>
      </c>
      <c r="AH112" s="46">
        <f t="shared" si="11"/>
        <v>7060</v>
      </c>
      <c r="AI112" s="90">
        <v>1</v>
      </c>
      <c r="AJ112" s="46" t="str">
        <f t="shared" si="12"/>
        <v/>
      </c>
      <c r="AK112" s="89"/>
      <c r="AL112" s="89"/>
      <c r="AM112" s="46">
        <f t="shared" si="13"/>
        <v>-6900</v>
      </c>
      <c r="AN112" s="91">
        <v>1</v>
      </c>
      <c r="AO112" s="46">
        <f t="shared" si="14"/>
        <v>59000</v>
      </c>
      <c r="AP112" s="89">
        <v>1</v>
      </c>
      <c r="AQ112" s="46" t="str">
        <f t="shared" si="26"/>
        <v/>
      </c>
      <c r="AR112" s="89"/>
      <c r="AS112" s="46" t="str">
        <f t="shared" si="28"/>
        <v/>
      </c>
      <c r="AT112" s="89"/>
      <c r="AU112" s="46" t="str">
        <f t="shared" si="29"/>
        <v/>
      </c>
      <c r="AV112" s="89"/>
      <c r="AW112" s="46" t="str">
        <f t="shared" si="27"/>
        <v/>
      </c>
      <c r="AX112" s="89"/>
      <c r="AY112" s="46"/>
      <c r="AZ112" s="143"/>
      <c r="BA112" s="46" t="str">
        <f t="shared" si="23"/>
        <v/>
      </c>
      <c r="BB112" s="143"/>
    </row>
    <row r="113" spans="1:55" s="41" customFormat="1" ht="17.25" customHeight="1">
      <c r="A113" s="40"/>
      <c r="B113" s="152" t="s">
        <v>127</v>
      </c>
      <c r="C113" s="155">
        <v>106</v>
      </c>
      <c r="D113" s="83">
        <v>3</v>
      </c>
      <c r="E113" s="59" t="s">
        <v>191</v>
      </c>
      <c r="F113" s="146">
        <f t="shared" si="22"/>
        <v>-61570</v>
      </c>
      <c r="G113" s="58">
        <f t="shared" si="24"/>
        <v>0</v>
      </c>
      <c r="H113" s="58">
        <f t="shared" si="25"/>
        <v>0</v>
      </c>
      <c r="I113" s="46"/>
      <c r="J113" s="92"/>
      <c r="K113" s="160"/>
      <c r="L113" s="92"/>
      <c r="M113" s="46"/>
      <c r="N113" s="92"/>
      <c r="O113" s="84"/>
      <c r="P113" s="84"/>
      <c r="Q113" s="84"/>
      <c r="R113" s="46"/>
      <c r="S113" s="46">
        <v>-32900</v>
      </c>
      <c r="T113" s="46">
        <f t="shared" si="3"/>
        <v>0</v>
      </c>
      <c r="U113" s="84"/>
      <c r="V113" s="87"/>
      <c r="W113" s="46" t="str">
        <f t="shared" si="9"/>
        <v/>
      </c>
      <c r="X113" s="89"/>
      <c r="Y113" s="89"/>
      <c r="Z113" s="46"/>
      <c r="AA113" s="89"/>
      <c r="AB113" s="90"/>
      <c r="AC113" s="46">
        <v>-103850</v>
      </c>
      <c r="AD113" s="89">
        <v>1</v>
      </c>
      <c r="AE113" s="89"/>
      <c r="AF113" s="99">
        <v>16020</v>
      </c>
      <c r="AG113" s="90">
        <v>1</v>
      </c>
      <c r="AH113" s="46">
        <f t="shared" si="11"/>
        <v>7060</v>
      </c>
      <c r="AI113" s="90">
        <v>1</v>
      </c>
      <c r="AJ113" s="46" t="str">
        <f t="shared" si="12"/>
        <v/>
      </c>
      <c r="AK113" s="89"/>
      <c r="AL113" s="89"/>
      <c r="AM113" s="46">
        <f t="shared" si="13"/>
        <v>-6900</v>
      </c>
      <c r="AN113" s="91">
        <v>1</v>
      </c>
      <c r="AO113" s="46">
        <f t="shared" si="14"/>
        <v>59000</v>
      </c>
      <c r="AP113" s="89">
        <v>1</v>
      </c>
      <c r="AQ113" s="46" t="str">
        <f t="shared" si="26"/>
        <v/>
      </c>
      <c r="AR113" s="89"/>
      <c r="AS113" s="46" t="str">
        <f t="shared" si="28"/>
        <v/>
      </c>
      <c r="AT113" s="89"/>
      <c r="AU113" s="46" t="str">
        <f t="shared" si="29"/>
        <v/>
      </c>
      <c r="AV113" s="89"/>
      <c r="AW113" s="46" t="str">
        <f t="shared" si="27"/>
        <v/>
      </c>
      <c r="AX113" s="89"/>
      <c r="AY113" s="46"/>
      <c r="AZ113" s="143"/>
      <c r="BA113" s="46" t="str">
        <f t="shared" si="23"/>
        <v/>
      </c>
      <c r="BB113" s="143"/>
    </row>
    <row r="114" spans="1:55" s="41" customFormat="1" ht="17.25" customHeight="1">
      <c r="A114" s="40"/>
      <c r="B114" s="152" t="s">
        <v>49</v>
      </c>
      <c r="C114" s="155">
        <v>107</v>
      </c>
      <c r="D114" s="83">
        <v>3</v>
      </c>
      <c r="E114" s="59" t="s">
        <v>201</v>
      </c>
      <c r="F114" s="146">
        <f t="shared" si="22"/>
        <v>177530</v>
      </c>
      <c r="G114" s="58">
        <f t="shared" si="24"/>
        <v>0</v>
      </c>
      <c r="H114" s="58">
        <f t="shared" si="25"/>
        <v>0</v>
      </c>
      <c r="I114" s="46"/>
      <c r="J114" s="92"/>
      <c r="K114" s="160"/>
      <c r="L114" s="92"/>
      <c r="M114" s="46"/>
      <c r="N114" s="92"/>
      <c r="O114" s="84"/>
      <c r="P114" s="84"/>
      <c r="Q114" s="84"/>
      <c r="R114" s="46"/>
      <c r="S114" s="46">
        <v>-32900</v>
      </c>
      <c r="T114" s="46">
        <f t="shared" si="3"/>
        <v>0</v>
      </c>
      <c r="U114" s="84"/>
      <c r="V114" s="87"/>
      <c r="W114" s="46" t="str">
        <f t="shared" si="9"/>
        <v/>
      </c>
      <c r="X114" s="89"/>
      <c r="Y114" s="89"/>
      <c r="Z114" s="46"/>
      <c r="AA114" s="89"/>
      <c r="AB114" s="90"/>
      <c r="AC114" s="46">
        <v>-133050</v>
      </c>
      <c r="AD114" s="89">
        <v>1</v>
      </c>
      <c r="AE114" s="89"/>
      <c r="AF114" s="99">
        <v>16020</v>
      </c>
      <c r="AG114" s="90">
        <v>1</v>
      </c>
      <c r="AH114" s="46">
        <f t="shared" si="11"/>
        <v>7060</v>
      </c>
      <c r="AI114" s="90">
        <v>1</v>
      </c>
      <c r="AJ114" s="46">
        <f t="shared" si="12"/>
        <v>268300</v>
      </c>
      <c r="AK114" s="89">
        <v>1</v>
      </c>
      <c r="AL114" s="89"/>
      <c r="AM114" s="46">
        <f t="shared" si="13"/>
        <v>-6900</v>
      </c>
      <c r="AN114" s="91">
        <v>1</v>
      </c>
      <c r="AO114" s="46">
        <f t="shared" si="14"/>
        <v>59000</v>
      </c>
      <c r="AP114" s="89">
        <v>1</v>
      </c>
      <c r="AQ114" s="46" t="str">
        <f t="shared" si="26"/>
        <v/>
      </c>
      <c r="AR114" s="89"/>
      <c r="AS114" s="46" t="str">
        <f t="shared" si="28"/>
        <v/>
      </c>
      <c r="AT114" s="89"/>
      <c r="AU114" s="46" t="str">
        <f t="shared" si="29"/>
        <v/>
      </c>
      <c r="AV114" s="89"/>
      <c r="AW114" s="46" t="str">
        <f t="shared" si="27"/>
        <v/>
      </c>
      <c r="AX114" s="89"/>
      <c r="AY114" s="46"/>
      <c r="AZ114" s="143"/>
      <c r="BA114" s="46" t="str">
        <f t="shared" si="23"/>
        <v/>
      </c>
      <c r="BB114" s="143"/>
    </row>
    <row r="115" spans="1:55" s="41" customFormat="1" ht="17.25" customHeight="1">
      <c r="A115" s="40"/>
      <c r="B115" s="152" t="s">
        <v>50</v>
      </c>
      <c r="C115" s="155">
        <v>108</v>
      </c>
      <c r="D115" s="83">
        <v>3</v>
      </c>
      <c r="E115" s="59" t="s">
        <v>213</v>
      </c>
      <c r="F115" s="146">
        <f t="shared" si="22"/>
        <v>-50770</v>
      </c>
      <c r="G115" s="58">
        <f t="shared" si="24"/>
        <v>0</v>
      </c>
      <c r="H115" s="58">
        <f t="shared" si="25"/>
        <v>0</v>
      </c>
      <c r="I115" s="46"/>
      <c r="J115" s="92"/>
      <c r="K115" s="160"/>
      <c r="L115" s="92"/>
      <c r="M115" s="46"/>
      <c r="N115" s="92"/>
      <c r="O115" s="84"/>
      <c r="P115" s="84"/>
      <c r="Q115" s="84"/>
      <c r="R115" s="46"/>
      <c r="S115" s="46">
        <v>-32900</v>
      </c>
      <c r="T115" s="46">
        <f t="shared" si="3"/>
        <v>0</v>
      </c>
      <c r="U115" s="84"/>
      <c r="V115" s="87"/>
      <c r="W115" s="46" t="str">
        <f t="shared" si="9"/>
        <v/>
      </c>
      <c r="X115" s="89"/>
      <c r="Y115" s="89"/>
      <c r="Z115" s="46"/>
      <c r="AA115" s="89"/>
      <c r="AB115" s="90"/>
      <c r="AC115" s="46">
        <v>-93050</v>
      </c>
      <c r="AD115" s="89">
        <v>1</v>
      </c>
      <c r="AE115" s="89"/>
      <c r="AF115" s="99">
        <v>16020</v>
      </c>
      <c r="AG115" s="90">
        <v>1</v>
      </c>
      <c r="AH115" s="46">
        <f t="shared" si="11"/>
        <v>7060</v>
      </c>
      <c r="AI115" s="90">
        <v>1</v>
      </c>
      <c r="AJ115" s="46" t="str">
        <f t="shared" si="12"/>
        <v/>
      </c>
      <c r="AK115" s="89"/>
      <c r="AL115" s="89"/>
      <c r="AM115" s="46">
        <f t="shared" si="13"/>
        <v>-6900</v>
      </c>
      <c r="AN115" s="91">
        <v>1</v>
      </c>
      <c r="AO115" s="46">
        <f t="shared" si="14"/>
        <v>59000</v>
      </c>
      <c r="AP115" s="89">
        <v>1</v>
      </c>
      <c r="AQ115" s="46" t="str">
        <f t="shared" si="26"/>
        <v/>
      </c>
      <c r="AR115" s="89"/>
      <c r="AS115" s="46" t="str">
        <f t="shared" si="28"/>
        <v/>
      </c>
      <c r="AT115" s="89"/>
      <c r="AU115" s="46" t="str">
        <f t="shared" si="29"/>
        <v/>
      </c>
      <c r="AV115" s="89"/>
      <c r="AW115" s="46" t="str">
        <f t="shared" si="27"/>
        <v/>
      </c>
      <c r="AX115" s="89"/>
      <c r="AY115" s="46"/>
      <c r="AZ115" s="143"/>
      <c r="BA115" s="46" t="str">
        <f t="shared" si="23"/>
        <v/>
      </c>
      <c r="BB115" s="143"/>
    </row>
    <row r="116" spans="1:55" s="41" customFormat="1" ht="17.25" customHeight="1">
      <c r="A116" s="40"/>
      <c r="B116" s="152" t="s">
        <v>55</v>
      </c>
      <c r="C116" s="155">
        <v>109</v>
      </c>
      <c r="D116" s="83">
        <v>3</v>
      </c>
      <c r="E116" s="59" t="s">
        <v>214</v>
      </c>
      <c r="F116" s="146">
        <f t="shared" si="22"/>
        <v>-78225</v>
      </c>
      <c r="G116" s="58">
        <f t="shared" si="24"/>
        <v>0</v>
      </c>
      <c r="H116" s="58">
        <f t="shared" si="25"/>
        <v>0</v>
      </c>
      <c r="I116" s="46"/>
      <c r="J116" s="92"/>
      <c r="K116" s="160"/>
      <c r="L116" s="92"/>
      <c r="M116" s="46"/>
      <c r="N116" s="92"/>
      <c r="O116" s="84"/>
      <c r="P116" s="84"/>
      <c r="Q116" s="84"/>
      <c r="R116" s="46"/>
      <c r="S116" s="46">
        <v>-32900</v>
      </c>
      <c r="T116" s="46">
        <f t="shared" si="3"/>
        <v>0</v>
      </c>
      <c r="U116" s="84"/>
      <c r="V116" s="87"/>
      <c r="W116" s="46" t="str">
        <f t="shared" si="9"/>
        <v/>
      </c>
      <c r="X116" s="89"/>
      <c r="Y116" s="89"/>
      <c r="Z116" s="46"/>
      <c r="AA116" s="89"/>
      <c r="AB116" s="90"/>
      <c r="AC116" s="46">
        <v>-120505</v>
      </c>
      <c r="AD116" s="89">
        <v>1</v>
      </c>
      <c r="AE116" s="90"/>
      <c r="AF116" s="99">
        <v>16020</v>
      </c>
      <c r="AG116" s="90">
        <v>1</v>
      </c>
      <c r="AH116" s="46">
        <f t="shared" si="11"/>
        <v>7060</v>
      </c>
      <c r="AI116" s="90">
        <v>1</v>
      </c>
      <c r="AJ116" s="46" t="str">
        <f t="shared" si="12"/>
        <v/>
      </c>
      <c r="AK116" s="89"/>
      <c r="AL116" s="89"/>
      <c r="AM116" s="46">
        <f t="shared" si="13"/>
        <v>-6900</v>
      </c>
      <c r="AN116" s="91">
        <v>1</v>
      </c>
      <c r="AO116" s="46">
        <f t="shared" si="14"/>
        <v>59000</v>
      </c>
      <c r="AP116" s="89">
        <v>1</v>
      </c>
      <c r="AQ116" s="46" t="str">
        <f t="shared" si="26"/>
        <v/>
      </c>
      <c r="AR116" s="89"/>
      <c r="AS116" s="46" t="str">
        <f t="shared" si="28"/>
        <v/>
      </c>
      <c r="AT116" s="89"/>
      <c r="AU116" s="46" t="str">
        <f t="shared" si="29"/>
        <v/>
      </c>
      <c r="AV116" s="89"/>
      <c r="AW116" s="46" t="str">
        <f t="shared" si="27"/>
        <v/>
      </c>
      <c r="AX116" s="89"/>
      <c r="AY116" s="46"/>
      <c r="AZ116" s="143"/>
      <c r="BA116" s="46" t="str">
        <f t="shared" si="23"/>
        <v/>
      </c>
      <c r="BB116" s="143"/>
    </row>
    <row r="117" spans="1:55" s="41" customFormat="1" ht="17.25" customHeight="1">
      <c r="A117" s="40"/>
      <c r="B117" s="152" t="s">
        <v>107</v>
      </c>
      <c r="C117" s="155">
        <v>110</v>
      </c>
      <c r="D117" s="83">
        <v>3</v>
      </c>
      <c r="E117" s="59" t="s">
        <v>216</v>
      </c>
      <c r="F117" s="146">
        <f t="shared" si="22"/>
        <v>-64635</v>
      </c>
      <c r="G117" s="58">
        <f t="shared" si="24"/>
        <v>0</v>
      </c>
      <c r="H117" s="58">
        <f t="shared" si="25"/>
        <v>0</v>
      </c>
      <c r="I117" s="46"/>
      <c r="J117" s="92"/>
      <c r="K117" s="160"/>
      <c r="L117" s="92"/>
      <c r="M117" s="46"/>
      <c r="N117" s="92"/>
      <c r="O117" s="84"/>
      <c r="P117" s="84"/>
      <c r="Q117" s="84"/>
      <c r="R117" s="46"/>
      <c r="S117" s="46">
        <v>-32900</v>
      </c>
      <c r="T117" s="46">
        <f t="shared" si="3"/>
        <v>0</v>
      </c>
      <c r="U117" s="84"/>
      <c r="V117" s="87"/>
      <c r="W117" s="46" t="str">
        <f t="shared" si="9"/>
        <v/>
      </c>
      <c r="X117" s="89"/>
      <c r="Y117" s="89"/>
      <c r="Z117" s="46"/>
      <c r="AA117" s="89"/>
      <c r="AB117" s="90"/>
      <c r="AC117" s="46">
        <v>-107905</v>
      </c>
      <c r="AD117" s="89">
        <v>1</v>
      </c>
      <c r="AE117" s="89"/>
      <c r="AF117" s="99">
        <v>17010</v>
      </c>
      <c r="AG117" s="90">
        <v>1</v>
      </c>
      <c r="AH117" s="46">
        <f t="shared" si="11"/>
        <v>7060</v>
      </c>
      <c r="AI117" s="90">
        <v>1</v>
      </c>
      <c r="AJ117" s="46" t="str">
        <f t="shared" si="12"/>
        <v/>
      </c>
      <c r="AK117" s="89"/>
      <c r="AL117" s="89"/>
      <c r="AM117" s="46">
        <f t="shared" si="13"/>
        <v>-6900</v>
      </c>
      <c r="AN117" s="91">
        <v>1</v>
      </c>
      <c r="AO117" s="46">
        <f t="shared" si="14"/>
        <v>59000</v>
      </c>
      <c r="AP117" s="89">
        <v>1</v>
      </c>
      <c r="AQ117" s="46" t="str">
        <f t="shared" si="26"/>
        <v/>
      </c>
      <c r="AR117" s="89"/>
      <c r="AS117" s="46" t="str">
        <f t="shared" si="28"/>
        <v/>
      </c>
      <c r="AT117" s="89"/>
      <c r="AU117" s="46" t="str">
        <f t="shared" si="29"/>
        <v/>
      </c>
      <c r="AV117" s="89"/>
      <c r="AW117" s="46" t="str">
        <f t="shared" si="27"/>
        <v/>
      </c>
      <c r="AX117" s="89"/>
      <c r="AY117" s="46"/>
      <c r="AZ117" s="143"/>
      <c r="BA117" s="46" t="str">
        <f t="shared" si="23"/>
        <v/>
      </c>
      <c r="BB117" s="143"/>
    </row>
    <row r="118" spans="1:55" s="41" customFormat="1" ht="17.25" customHeight="1">
      <c r="A118" s="40"/>
      <c r="B118" s="152" t="s">
        <v>96</v>
      </c>
      <c r="C118" s="155">
        <v>111</v>
      </c>
      <c r="D118" s="83">
        <v>3</v>
      </c>
      <c r="E118" s="59" t="s">
        <v>219</v>
      </c>
      <c r="F118" s="146">
        <f t="shared" si="22"/>
        <v>343765</v>
      </c>
      <c r="G118" s="58">
        <f t="shared" si="24"/>
        <v>0</v>
      </c>
      <c r="H118" s="58">
        <f t="shared" si="25"/>
        <v>0</v>
      </c>
      <c r="I118" s="46"/>
      <c r="J118" s="92"/>
      <c r="K118" s="160">
        <v>116250</v>
      </c>
      <c r="L118" s="92" t="s">
        <v>155</v>
      </c>
      <c r="M118" s="46">
        <v>48750</v>
      </c>
      <c r="N118" s="92" t="s">
        <v>155</v>
      </c>
      <c r="O118" s="84"/>
      <c r="P118" s="84"/>
      <c r="Q118" s="84"/>
      <c r="R118" s="46"/>
      <c r="S118" s="46">
        <v>-32900</v>
      </c>
      <c r="T118" s="46">
        <f t="shared" si="3"/>
        <v>0</v>
      </c>
      <c r="U118" s="84"/>
      <c r="V118" s="87"/>
      <c r="W118" s="46" t="str">
        <f t="shared" si="9"/>
        <v/>
      </c>
      <c r="X118" s="89"/>
      <c r="Y118" s="89"/>
      <c r="Z118" s="46"/>
      <c r="AA118" s="89"/>
      <c r="AB118" s="90"/>
      <c r="AC118" s="46">
        <v>-132805</v>
      </c>
      <c r="AD118" s="89">
        <v>1</v>
      </c>
      <c r="AE118" s="89"/>
      <c r="AF118" s="99">
        <v>17010</v>
      </c>
      <c r="AG118" s="90">
        <v>1</v>
      </c>
      <c r="AH118" s="46">
        <f t="shared" si="11"/>
        <v>7060</v>
      </c>
      <c r="AI118" s="90">
        <v>1</v>
      </c>
      <c r="AJ118" s="46">
        <f t="shared" si="12"/>
        <v>268300</v>
      </c>
      <c r="AK118" s="89">
        <v>1</v>
      </c>
      <c r="AL118" s="89"/>
      <c r="AM118" s="46">
        <f t="shared" si="13"/>
        <v>-6900</v>
      </c>
      <c r="AN118" s="91">
        <v>1</v>
      </c>
      <c r="AO118" s="46">
        <f t="shared" si="14"/>
        <v>59000</v>
      </c>
      <c r="AP118" s="89">
        <v>1</v>
      </c>
      <c r="AQ118" s="46" t="str">
        <f t="shared" si="26"/>
        <v/>
      </c>
      <c r="AR118" s="89"/>
      <c r="AS118" s="46" t="str">
        <f t="shared" si="28"/>
        <v/>
      </c>
      <c r="AT118" s="89"/>
      <c r="AU118" s="46" t="str">
        <f t="shared" si="29"/>
        <v/>
      </c>
      <c r="AV118" s="89"/>
      <c r="AW118" s="46" t="str">
        <f t="shared" si="27"/>
        <v/>
      </c>
      <c r="AX118" s="89"/>
      <c r="AY118" s="46"/>
      <c r="AZ118" s="143"/>
      <c r="BA118" s="46" t="str">
        <f t="shared" si="23"/>
        <v/>
      </c>
      <c r="BB118" s="143"/>
    </row>
    <row r="119" spans="1:55" s="41" customFormat="1" ht="17.25" customHeight="1">
      <c r="A119" s="40"/>
      <c r="B119" s="152" t="s">
        <v>133</v>
      </c>
      <c r="C119" s="155">
        <v>112</v>
      </c>
      <c r="D119" s="83">
        <v>3</v>
      </c>
      <c r="E119" s="59" t="s">
        <v>198</v>
      </c>
      <c r="F119" s="146">
        <f t="shared" si="22"/>
        <v>-58170</v>
      </c>
      <c r="G119" s="58">
        <f t="shared" si="24"/>
        <v>0</v>
      </c>
      <c r="H119" s="58">
        <f t="shared" si="25"/>
        <v>0</v>
      </c>
      <c r="I119" s="46"/>
      <c r="J119" s="92"/>
      <c r="K119" s="160"/>
      <c r="L119" s="92"/>
      <c r="M119" s="46"/>
      <c r="N119" s="92"/>
      <c r="O119" s="84"/>
      <c r="P119" s="84"/>
      <c r="Q119" s="84"/>
      <c r="R119" s="46"/>
      <c r="S119" s="46">
        <v>-32900</v>
      </c>
      <c r="T119" s="46">
        <f t="shared" si="3"/>
        <v>0</v>
      </c>
      <c r="U119" s="84"/>
      <c r="V119" s="87"/>
      <c r="W119" s="46" t="str">
        <f t="shared" si="9"/>
        <v/>
      </c>
      <c r="X119" s="89"/>
      <c r="Y119" s="89"/>
      <c r="Z119" s="46"/>
      <c r="AA119" s="89"/>
      <c r="AB119" s="90"/>
      <c r="AC119" s="46">
        <v>-100450</v>
      </c>
      <c r="AD119" s="89">
        <v>1</v>
      </c>
      <c r="AE119" s="90"/>
      <c r="AF119" s="99">
        <v>16020</v>
      </c>
      <c r="AG119" s="90">
        <v>1</v>
      </c>
      <c r="AH119" s="46">
        <f t="shared" si="11"/>
        <v>7060</v>
      </c>
      <c r="AI119" s="90">
        <v>1</v>
      </c>
      <c r="AJ119" s="46" t="str">
        <f t="shared" si="12"/>
        <v/>
      </c>
      <c r="AK119" s="89"/>
      <c r="AL119" s="89"/>
      <c r="AM119" s="46">
        <f t="shared" si="13"/>
        <v>-6900</v>
      </c>
      <c r="AN119" s="91">
        <v>1</v>
      </c>
      <c r="AO119" s="46">
        <f t="shared" si="14"/>
        <v>59000</v>
      </c>
      <c r="AP119" s="89">
        <v>1</v>
      </c>
      <c r="AQ119" s="46" t="str">
        <f t="shared" si="26"/>
        <v/>
      </c>
      <c r="AR119" s="89"/>
      <c r="AS119" s="46" t="str">
        <f t="shared" si="28"/>
        <v/>
      </c>
      <c r="AT119" s="89"/>
      <c r="AU119" s="46" t="str">
        <f t="shared" si="29"/>
        <v/>
      </c>
      <c r="AV119" s="89"/>
      <c r="AW119" s="46" t="str">
        <f t="shared" si="27"/>
        <v/>
      </c>
      <c r="AX119" s="89"/>
      <c r="AY119" s="46"/>
      <c r="AZ119" s="143"/>
      <c r="BA119" s="46" t="str">
        <f t="shared" si="23"/>
        <v/>
      </c>
      <c r="BB119" s="143"/>
    </row>
    <row r="120" spans="1:55" s="41" customFormat="1" ht="17.25" customHeight="1">
      <c r="A120" s="40"/>
      <c r="B120" s="152" t="s">
        <v>53</v>
      </c>
      <c r="C120" s="155">
        <v>113</v>
      </c>
      <c r="D120" s="83">
        <v>3</v>
      </c>
      <c r="E120" s="59" t="s">
        <v>189</v>
      </c>
      <c r="F120" s="146">
        <f t="shared" si="22"/>
        <v>-69335</v>
      </c>
      <c r="G120" s="58">
        <f t="shared" si="24"/>
        <v>0</v>
      </c>
      <c r="H120" s="58">
        <f t="shared" si="25"/>
        <v>0</v>
      </c>
      <c r="I120" s="46"/>
      <c r="J120" s="92"/>
      <c r="K120" s="160"/>
      <c r="L120" s="92"/>
      <c r="M120" s="46"/>
      <c r="N120" s="92"/>
      <c r="O120" s="84"/>
      <c r="P120" s="84"/>
      <c r="Q120" s="84"/>
      <c r="R120" s="46"/>
      <c r="S120" s="46">
        <v>-32900</v>
      </c>
      <c r="T120" s="46">
        <f t="shared" si="3"/>
        <v>0</v>
      </c>
      <c r="U120" s="84"/>
      <c r="V120" s="87"/>
      <c r="W120" s="46" t="str">
        <f t="shared" si="9"/>
        <v/>
      </c>
      <c r="X120" s="89"/>
      <c r="Y120" s="89"/>
      <c r="Z120" s="46"/>
      <c r="AA120" s="89"/>
      <c r="AB120" s="90"/>
      <c r="AC120" s="46">
        <v>-112605</v>
      </c>
      <c r="AD120" s="89">
        <v>1</v>
      </c>
      <c r="AE120" s="89"/>
      <c r="AF120" s="99">
        <v>17010</v>
      </c>
      <c r="AG120" s="90">
        <v>1</v>
      </c>
      <c r="AH120" s="46">
        <f t="shared" si="11"/>
        <v>7060</v>
      </c>
      <c r="AI120" s="90">
        <v>1</v>
      </c>
      <c r="AJ120" s="46" t="str">
        <f t="shared" si="12"/>
        <v/>
      </c>
      <c r="AK120" s="89"/>
      <c r="AL120" s="89"/>
      <c r="AM120" s="46">
        <f t="shared" si="13"/>
        <v>-6900</v>
      </c>
      <c r="AN120" s="91">
        <v>1</v>
      </c>
      <c r="AO120" s="46">
        <f t="shared" si="14"/>
        <v>59000</v>
      </c>
      <c r="AP120" s="89">
        <v>1</v>
      </c>
      <c r="AQ120" s="46" t="str">
        <f t="shared" si="26"/>
        <v/>
      </c>
      <c r="AR120" s="89"/>
      <c r="AS120" s="46" t="str">
        <f t="shared" si="28"/>
        <v/>
      </c>
      <c r="AT120" s="89"/>
      <c r="AU120" s="46" t="str">
        <f t="shared" si="29"/>
        <v/>
      </c>
      <c r="AV120" s="89"/>
      <c r="AW120" s="46" t="str">
        <f t="shared" si="27"/>
        <v/>
      </c>
      <c r="AX120" s="89"/>
      <c r="AY120" s="46"/>
      <c r="AZ120" s="143"/>
      <c r="BA120" s="46" t="str">
        <f t="shared" si="23"/>
        <v/>
      </c>
      <c r="BB120" s="143"/>
    </row>
    <row r="121" spans="1:55" s="41" customFormat="1" ht="17.25" customHeight="1">
      <c r="A121" s="40"/>
      <c r="B121" s="152" t="s">
        <v>21</v>
      </c>
      <c r="C121" s="155">
        <v>114</v>
      </c>
      <c r="D121" s="83">
        <v>3</v>
      </c>
      <c r="E121" s="59" t="s">
        <v>194</v>
      </c>
      <c r="F121" s="146">
        <f t="shared" si="22"/>
        <v>-53470</v>
      </c>
      <c r="G121" s="58">
        <f t="shared" si="24"/>
        <v>0</v>
      </c>
      <c r="H121" s="58">
        <f t="shared" si="25"/>
        <v>0</v>
      </c>
      <c r="I121" s="46"/>
      <c r="J121" s="92"/>
      <c r="K121" s="160"/>
      <c r="L121" s="92"/>
      <c r="M121" s="46"/>
      <c r="N121" s="92"/>
      <c r="O121" s="84"/>
      <c r="P121" s="84"/>
      <c r="Q121" s="84"/>
      <c r="R121" s="46"/>
      <c r="S121" s="46">
        <v>-32900</v>
      </c>
      <c r="T121" s="46">
        <f t="shared" si="3"/>
        <v>0</v>
      </c>
      <c r="U121" s="84"/>
      <c r="V121" s="87"/>
      <c r="W121" s="46" t="str">
        <f t="shared" si="9"/>
        <v/>
      </c>
      <c r="X121" s="89"/>
      <c r="Y121" s="89"/>
      <c r="Z121" s="46"/>
      <c r="AA121" s="89"/>
      <c r="AB121" s="90"/>
      <c r="AC121" s="46">
        <v>-95750</v>
      </c>
      <c r="AD121" s="89">
        <v>1</v>
      </c>
      <c r="AE121" s="90"/>
      <c r="AF121" s="99">
        <v>16020</v>
      </c>
      <c r="AG121" s="90">
        <v>1</v>
      </c>
      <c r="AH121" s="46">
        <f t="shared" si="11"/>
        <v>7060</v>
      </c>
      <c r="AI121" s="90">
        <v>1</v>
      </c>
      <c r="AJ121" s="46" t="str">
        <f t="shared" si="12"/>
        <v/>
      </c>
      <c r="AK121" s="89"/>
      <c r="AL121" s="89"/>
      <c r="AM121" s="46">
        <f t="shared" si="13"/>
        <v>-6900</v>
      </c>
      <c r="AN121" s="91">
        <v>1</v>
      </c>
      <c r="AO121" s="46">
        <f t="shared" si="14"/>
        <v>59000</v>
      </c>
      <c r="AP121" s="89">
        <v>1</v>
      </c>
      <c r="AQ121" s="46" t="str">
        <f t="shared" si="26"/>
        <v/>
      </c>
      <c r="AR121" s="89"/>
      <c r="AS121" s="46" t="str">
        <f t="shared" si="28"/>
        <v/>
      </c>
      <c r="AT121" s="89"/>
      <c r="AU121" s="46" t="str">
        <f t="shared" si="29"/>
        <v/>
      </c>
      <c r="AV121" s="89"/>
      <c r="AW121" s="46" t="str">
        <f t="shared" si="27"/>
        <v/>
      </c>
      <c r="AX121" s="89"/>
      <c r="AY121" s="46"/>
      <c r="AZ121" s="143"/>
      <c r="BA121" s="46" t="str">
        <f t="shared" si="23"/>
        <v/>
      </c>
      <c r="BB121" s="143"/>
    </row>
    <row r="122" spans="1:55" s="86" customFormat="1" ht="18" customHeight="1">
      <c r="A122" s="25"/>
      <c r="B122" s="60"/>
      <c r="C122" s="133"/>
      <c r="D122" s="134"/>
      <c r="E122" s="134"/>
      <c r="F122" s="147">
        <f>SUM(F8:F121)</f>
        <v>-909175</v>
      </c>
      <c r="G122" s="135"/>
      <c r="H122" s="135"/>
      <c r="I122" s="136">
        <f>SUM(I48:I121)</f>
        <v>5107300</v>
      </c>
      <c r="J122" s="137"/>
      <c r="K122" s="136">
        <f>SUM(K48:K121)</f>
        <v>2673750</v>
      </c>
      <c r="L122" s="137"/>
      <c r="M122" s="136">
        <f>SUM(M48:M121)</f>
        <v>1223800</v>
      </c>
      <c r="N122" s="137"/>
      <c r="O122" s="136">
        <f t="shared" ref="O122:U122" si="30">SUM(O48:O121)</f>
        <v>0</v>
      </c>
      <c r="P122" s="136">
        <f t="shared" si="30"/>
        <v>0</v>
      </c>
      <c r="Q122" s="136">
        <f t="shared" si="30"/>
        <v>0</v>
      </c>
      <c r="R122" s="136">
        <f t="shared" si="30"/>
        <v>0</v>
      </c>
      <c r="S122" s="136">
        <f>SUM(S8:S121)</f>
        <v>-2262200</v>
      </c>
      <c r="T122" s="136">
        <f t="shared" si="30"/>
        <v>0</v>
      </c>
      <c r="U122" s="136">
        <f t="shared" si="30"/>
        <v>0</v>
      </c>
      <c r="V122" s="137"/>
      <c r="W122" s="136">
        <f>SUM(W8:W121)</f>
        <v>5000</v>
      </c>
      <c r="X122" s="138">
        <f>SUM(X8:X121)</f>
        <v>1</v>
      </c>
      <c r="Y122" s="138"/>
      <c r="Z122" s="136">
        <f>SUM(Z8:Z121)</f>
        <v>180000</v>
      </c>
      <c r="AA122" s="138">
        <f>SUM(AA8:AA121)</f>
        <v>13</v>
      </c>
      <c r="AB122" s="138"/>
      <c r="AC122" s="136">
        <f>SUM(AC8:AC121)</f>
        <v>-17374535</v>
      </c>
      <c r="AD122" s="138">
        <f>SUM(AD8:AD121)</f>
        <v>114</v>
      </c>
      <c r="AE122" s="138"/>
      <c r="AF122" s="139">
        <f>SUM(AF8:AF121)</f>
        <v>1980230</v>
      </c>
      <c r="AG122" s="138">
        <f>SUM(AG8:AG121)</f>
        <v>114</v>
      </c>
      <c r="AH122" s="136">
        <f>SUM(AH8:AH121)</f>
        <v>797780</v>
      </c>
      <c r="AI122" s="138">
        <f>SUM(AI8:AI121)</f>
        <v>113</v>
      </c>
      <c r="AJ122" s="136">
        <f t="shared" ref="AJ122:AK122" si="31">SUM(AJ48:AJ121)</f>
        <v>1609800</v>
      </c>
      <c r="AK122" s="138">
        <f t="shared" si="31"/>
        <v>6</v>
      </c>
      <c r="AL122" s="138"/>
      <c r="AM122" s="136">
        <f>SUM(AM8:AM121)</f>
        <v>534900</v>
      </c>
      <c r="AN122" s="138">
        <f>SUM(AN8:AN121)</f>
        <v>113</v>
      </c>
      <c r="AO122" s="136">
        <f t="shared" ref="AO122:AV122" si="32">SUM(AO48:AO121)</f>
        <v>2065000</v>
      </c>
      <c r="AP122" s="138">
        <f t="shared" si="32"/>
        <v>35</v>
      </c>
      <c r="AQ122" s="136">
        <f t="shared" si="32"/>
        <v>0</v>
      </c>
      <c r="AR122" s="138">
        <f t="shared" si="32"/>
        <v>0</v>
      </c>
      <c r="AS122" s="136">
        <f t="shared" si="32"/>
        <v>0</v>
      </c>
      <c r="AT122" s="138">
        <f t="shared" si="32"/>
        <v>0</v>
      </c>
      <c r="AU122" s="136">
        <f t="shared" si="32"/>
        <v>0</v>
      </c>
      <c r="AV122" s="138">
        <f t="shared" si="32"/>
        <v>0</v>
      </c>
      <c r="AW122" s="136">
        <f>SUM(AW87:AW121)</f>
        <v>0</v>
      </c>
      <c r="AX122" s="138">
        <f>SUM(AX87:AX121)</f>
        <v>0</v>
      </c>
      <c r="AY122" s="136">
        <f>SUM(AY48:AY121)</f>
        <v>0</v>
      </c>
      <c r="AZ122" s="138">
        <f>SUM(AZ48:AZ121)</f>
        <v>0</v>
      </c>
      <c r="BA122" s="136">
        <f>SUM(BA48:BA121)</f>
        <v>0</v>
      </c>
      <c r="BB122" s="138">
        <f>SUM(BB48:BB121)</f>
        <v>0</v>
      </c>
      <c r="BC122" s="85"/>
    </row>
    <row r="123" spans="1:55">
      <c r="B123" s="62"/>
      <c r="C123" s="61"/>
      <c r="D123" s="61"/>
      <c r="E123" s="61"/>
      <c r="F123" s="148"/>
      <c r="G123" s="63"/>
      <c r="H123" s="63"/>
      <c r="I123" s="63"/>
      <c r="J123" s="63"/>
      <c r="K123" s="63"/>
      <c r="L123" s="63"/>
      <c r="M123" s="63"/>
      <c r="N123" s="93"/>
      <c r="O123" s="63"/>
      <c r="P123" s="63"/>
      <c r="Q123" s="63"/>
      <c r="R123" s="63"/>
      <c r="S123" s="63"/>
      <c r="T123" s="63"/>
      <c r="U123" s="63"/>
      <c r="V123" s="63"/>
      <c r="W123" s="64"/>
      <c r="X123" s="65"/>
      <c r="Y123" s="65"/>
      <c r="Z123" s="65"/>
      <c r="AA123" s="65"/>
      <c r="AB123" s="65"/>
      <c r="AC123" s="66"/>
      <c r="AD123" s="67"/>
      <c r="AE123" s="68"/>
      <c r="AF123" s="63"/>
      <c r="AG123" s="68"/>
      <c r="AH123" s="66"/>
      <c r="AI123" s="69"/>
      <c r="AJ123" s="63"/>
      <c r="AK123" s="70"/>
      <c r="AL123" s="70"/>
      <c r="AM123" s="63"/>
      <c r="AN123" s="70"/>
      <c r="AO123" s="63"/>
      <c r="AP123" s="70"/>
      <c r="AQ123" s="63"/>
      <c r="AR123" s="70"/>
      <c r="AS123" s="63"/>
      <c r="AT123" s="70"/>
      <c r="AU123" s="66"/>
      <c r="AV123" s="67"/>
      <c r="AW123" s="63"/>
      <c r="AX123" s="70"/>
      <c r="AY123" s="63"/>
      <c r="AZ123" s="70"/>
      <c r="BA123" s="63"/>
      <c r="BB123" s="70"/>
      <c r="BC123" s="61"/>
    </row>
    <row r="124" spans="1:55" ht="13.5">
      <c r="B124" s="71" t="str">
        <f t="shared" ref="B124:I124" si="33">B6</f>
        <v>학생
주민등록번호
뒷자리</v>
      </c>
      <c r="C124" s="72" t="str">
        <f t="shared" si="33"/>
        <v>No.</v>
      </c>
      <c r="D124" s="72" t="str">
        <f t="shared" si="33"/>
        <v>학년</v>
      </c>
      <c r="E124" s="72" t="str">
        <f t="shared" si="33"/>
        <v>학생명</v>
      </c>
      <c r="F124" s="72" t="str">
        <f t="shared" si="33"/>
        <v>총계</v>
      </c>
      <c r="G124" s="72" t="str">
        <f t="shared" si="33"/>
        <v>기준</v>
      </c>
      <c r="H124" s="72" t="str">
        <f t="shared" si="33"/>
        <v>금액</v>
      </c>
      <c r="I124" s="72" t="str">
        <f t="shared" si="33"/>
        <v>미납분</v>
      </c>
      <c r="J124" s="72"/>
      <c r="K124" s="72"/>
      <c r="L124" s="72"/>
      <c r="M124" s="72"/>
      <c r="N124" s="72"/>
      <c r="O124" s="72" t="str">
        <f>O6</f>
        <v>선입금</v>
      </c>
      <c r="P124" s="72"/>
      <c r="Q124" s="72"/>
      <c r="R124" s="72" t="str">
        <f>R6</f>
        <v>4분기</v>
      </c>
      <c r="S124" s="72"/>
      <c r="T124" s="72" t="str">
        <f>T6</f>
        <v>월</v>
      </c>
      <c r="U124" s="72" t="str">
        <f>U6</f>
        <v>장학금 차감</v>
      </c>
      <c r="V124" s="72"/>
      <c r="W124" s="72" t="str">
        <f>W6</f>
        <v>병원교통비</v>
      </c>
      <c r="X124" s="72"/>
      <c r="Y124" s="72"/>
      <c r="Z124" s="72"/>
      <c r="AA124" s="72"/>
      <c r="AB124" s="72"/>
      <c r="AC124" s="72" t="str">
        <f>AC6</f>
        <v>교재비정산</v>
      </c>
      <c r="AD124" s="72"/>
      <c r="AE124" s="72"/>
      <c r="AF124" s="72" t="str">
        <f>AF6</f>
        <v>건강검진비</v>
      </c>
      <c r="AG124" s="72"/>
      <c r="AH124" s="72" t="str">
        <f>AH6</f>
        <v>구강검진비</v>
      </c>
      <c r="AI124" s="72"/>
      <c r="AJ124" s="72" t="str">
        <f>AJ6</f>
        <v>졸업여행비</v>
      </c>
      <c r="AK124" s="72"/>
      <c r="AL124" s="72"/>
      <c r="AM124" s="72" t="str">
        <f>AM6</f>
        <v>현장체험학습비</v>
      </c>
      <c r="AN124" s="72"/>
      <c r="AO124" s="72" t="str">
        <f>AO6</f>
        <v>졸업앨범비</v>
      </c>
      <c r="AP124" s="72"/>
      <c r="AQ124" s="72">
        <f>AQ6</f>
        <v>0</v>
      </c>
      <c r="AR124" s="72"/>
      <c r="AS124" s="72">
        <f>AS6</f>
        <v>0</v>
      </c>
      <c r="AT124" s="72"/>
      <c r="AU124" s="72">
        <f>AU6</f>
        <v>0</v>
      </c>
      <c r="AV124" s="72"/>
      <c r="AW124" s="72">
        <f>AW6</f>
        <v>0</v>
      </c>
      <c r="AX124" s="72"/>
      <c r="AY124" s="72">
        <f>AY6</f>
        <v>0</v>
      </c>
      <c r="AZ124" s="72"/>
      <c r="BA124" s="72">
        <f>BA6</f>
        <v>0</v>
      </c>
      <c r="BB124" s="72"/>
      <c r="BC124" s="61"/>
    </row>
    <row r="125" spans="1:55">
      <c r="B125" s="73"/>
      <c r="C125" s="74"/>
      <c r="D125" s="74"/>
      <c r="E125" s="74"/>
      <c r="F125" s="149"/>
      <c r="G125" s="75"/>
      <c r="H125" s="75"/>
      <c r="I125" s="76" t="s">
        <v>148</v>
      </c>
      <c r="J125" s="76"/>
      <c r="K125" s="76"/>
      <c r="L125" s="76"/>
      <c r="M125" s="76" t="s">
        <v>19</v>
      </c>
      <c r="N125" s="78" t="str">
        <f>N7</f>
        <v>비고(메모)</v>
      </c>
      <c r="O125" s="76" t="s">
        <v>148</v>
      </c>
      <c r="P125" s="76"/>
      <c r="Q125" s="76" t="s">
        <v>19</v>
      </c>
      <c r="R125" s="76" t="s">
        <v>148</v>
      </c>
      <c r="S125" s="76" t="s">
        <v>144</v>
      </c>
      <c r="T125" s="76" t="s">
        <v>19</v>
      </c>
      <c r="U125" s="75"/>
      <c r="V125" s="75"/>
      <c r="W125" s="77"/>
      <c r="X125" s="78"/>
      <c r="Y125" s="78"/>
      <c r="Z125" s="78"/>
      <c r="AA125" s="78"/>
      <c r="AB125" s="78"/>
      <c r="AC125" s="77"/>
      <c r="AD125" s="78"/>
      <c r="AE125" s="80"/>
      <c r="AF125" s="79"/>
      <c r="AG125" s="80"/>
      <c r="AH125" s="77"/>
      <c r="AI125" s="81"/>
      <c r="AJ125" s="79"/>
      <c r="AK125" s="82"/>
      <c r="AL125" s="82"/>
      <c r="AM125" s="79"/>
      <c r="AN125" s="82"/>
      <c r="AO125" s="79"/>
      <c r="AP125" s="82"/>
      <c r="AQ125" s="79"/>
      <c r="AR125" s="82"/>
      <c r="AS125" s="79"/>
      <c r="AT125" s="82"/>
      <c r="AU125" s="77"/>
      <c r="AV125" s="78"/>
      <c r="AW125" s="79"/>
      <c r="AX125" s="82"/>
      <c r="AY125" s="79"/>
      <c r="AZ125" s="82"/>
      <c r="BA125" s="79"/>
      <c r="BB125" s="82"/>
      <c r="BC125" s="61"/>
    </row>
    <row r="126" spans="1:55">
      <c r="E126" s="22"/>
      <c r="F126" s="150"/>
      <c r="W126" s="48"/>
      <c r="X126" s="49"/>
      <c r="Y126" s="49"/>
      <c r="Z126" s="49"/>
      <c r="AA126" s="49"/>
      <c r="AB126" s="49"/>
      <c r="AC126" s="50"/>
      <c r="AD126" s="51"/>
      <c r="AE126" s="52"/>
      <c r="AF126" s="47"/>
      <c r="AG126" s="52"/>
      <c r="AH126" s="50"/>
      <c r="AI126" s="53"/>
      <c r="AJ126" s="47"/>
      <c r="AK126" s="40"/>
      <c r="AL126" s="40"/>
      <c r="AM126" s="47"/>
      <c r="AN126" s="40"/>
      <c r="AO126" s="47"/>
      <c r="AP126" s="40"/>
      <c r="AQ126" s="47"/>
      <c r="AR126" s="40"/>
      <c r="AS126" s="47"/>
      <c r="AT126" s="40"/>
      <c r="AU126" s="50"/>
      <c r="AV126" s="51"/>
      <c r="AW126" s="47"/>
      <c r="AX126" s="40"/>
      <c r="AY126" s="40"/>
      <c r="AZ126" s="40"/>
      <c r="BA126" s="47"/>
      <c r="BB126" s="40"/>
    </row>
    <row r="127" spans="1:55">
      <c r="E127" s="22"/>
      <c r="F127" s="150"/>
      <c r="R127" s="54"/>
      <c r="S127" s="54"/>
      <c r="W127" s="48"/>
      <c r="X127" s="49"/>
      <c r="Y127" s="49"/>
      <c r="Z127" s="49"/>
      <c r="AA127" s="49"/>
      <c r="AB127" s="49"/>
      <c r="AC127" s="50"/>
      <c r="AD127" s="51"/>
      <c r="AE127" s="52"/>
      <c r="AF127" s="47"/>
      <c r="AG127" s="52"/>
      <c r="AH127" s="50"/>
      <c r="AI127" s="53"/>
      <c r="AJ127" s="47"/>
      <c r="AK127" s="40"/>
      <c r="AL127" s="40"/>
      <c r="AM127" s="47"/>
      <c r="AN127" s="40"/>
      <c r="AO127" s="47"/>
      <c r="AP127" s="40"/>
      <c r="AQ127" s="47"/>
      <c r="AR127" s="40"/>
      <c r="AS127" s="47"/>
      <c r="AT127" s="40"/>
      <c r="AU127" s="50"/>
      <c r="AV127" s="51"/>
      <c r="AW127" s="47"/>
      <c r="AX127" s="40"/>
      <c r="AY127" s="40"/>
      <c r="AZ127" s="40"/>
      <c r="BA127" s="47"/>
      <c r="BB127" s="40"/>
    </row>
    <row r="128" spans="1:55">
      <c r="E128" s="22"/>
      <c r="F128" s="150"/>
      <c r="W128" s="48"/>
      <c r="X128" s="49"/>
      <c r="Y128" s="49"/>
      <c r="Z128" s="49"/>
      <c r="AA128" s="49"/>
      <c r="AB128" s="49"/>
      <c r="AC128" s="50"/>
      <c r="AD128" s="51"/>
      <c r="AE128" s="52"/>
      <c r="AF128" s="47"/>
      <c r="AG128" s="52"/>
      <c r="AH128" s="50"/>
      <c r="AI128" s="53"/>
      <c r="AJ128" s="47"/>
      <c r="AK128" s="40"/>
      <c r="AL128" s="40"/>
      <c r="AM128" s="47"/>
      <c r="AN128" s="40"/>
      <c r="AO128" s="47"/>
      <c r="AP128" s="40"/>
      <c r="AQ128" s="47"/>
      <c r="AR128" s="40"/>
      <c r="AS128" s="47"/>
      <c r="AT128" s="40"/>
      <c r="AU128" s="50"/>
      <c r="AV128" s="51"/>
      <c r="AW128" s="47"/>
      <c r="AX128" s="40"/>
      <c r="AY128" s="40"/>
      <c r="AZ128" s="40"/>
      <c r="BA128" s="47"/>
      <c r="BB128" s="40"/>
    </row>
    <row r="129" spans="5:54">
      <c r="E129" s="22"/>
      <c r="F129" s="150"/>
      <c r="W129" s="48"/>
      <c r="X129" s="49"/>
      <c r="Y129" s="49"/>
      <c r="Z129" s="49"/>
      <c r="AA129" s="49"/>
      <c r="AB129" s="49"/>
      <c r="AC129" s="50"/>
      <c r="AD129" s="51"/>
      <c r="AE129" s="52"/>
      <c r="AF129" s="47"/>
      <c r="AG129" s="52"/>
      <c r="AH129" s="50"/>
      <c r="AI129" s="53"/>
      <c r="AJ129" s="47"/>
      <c r="AK129" s="40"/>
      <c r="AL129" s="40"/>
      <c r="AM129" s="47"/>
      <c r="AN129" s="40"/>
      <c r="AO129" s="47"/>
      <c r="AP129" s="40"/>
      <c r="AQ129" s="47"/>
      <c r="AR129" s="40"/>
      <c r="AS129" s="47"/>
      <c r="AT129" s="40"/>
      <c r="AU129" s="50"/>
      <c r="AV129" s="51"/>
      <c r="AW129" s="47"/>
      <c r="AX129" s="40"/>
      <c r="AY129" s="40"/>
      <c r="AZ129" s="40"/>
      <c r="BA129" s="47"/>
      <c r="BB129" s="40"/>
    </row>
    <row r="130" spans="5:54">
      <c r="E130" s="22"/>
      <c r="F130" s="150"/>
      <c r="W130" s="48"/>
      <c r="X130" s="49"/>
      <c r="Y130" s="49"/>
      <c r="Z130" s="49"/>
      <c r="AA130" s="49"/>
      <c r="AB130" s="49"/>
      <c r="AC130" s="50"/>
      <c r="AD130" s="51"/>
      <c r="AE130" s="52"/>
      <c r="AF130" s="47"/>
      <c r="AG130" s="52"/>
      <c r="AH130" s="50"/>
      <c r="AI130" s="53"/>
      <c r="AJ130" s="47"/>
      <c r="AK130" s="40"/>
      <c r="AL130" s="40"/>
      <c r="AM130" s="47"/>
      <c r="AN130" s="40"/>
      <c r="AO130" s="47"/>
      <c r="AP130" s="40"/>
      <c r="AQ130" s="47"/>
      <c r="AR130" s="40"/>
      <c r="AS130" s="47"/>
      <c r="AT130" s="40"/>
      <c r="AU130" s="50"/>
      <c r="AV130" s="51"/>
      <c r="AW130" s="47"/>
      <c r="AX130" s="40"/>
      <c r="AY130" s="40"/>
      <c r="AZ130" s="40"/>
      <c r="BA130" s="47"/>
      <c r="BB130" s="40"/>
    </row>
    <row r="131" spans="5:54">
      <c r="E131" s="22"/>
      <c r="F131" s="150"/>
      <c r="W131" s="48"/>
      <c r="X131" s="49"/>
      <c r="Y131" s="49"/>
      <c r="Z131" s="49"/>
      <c r="AA131" s="49"/>
      <c r="AB131" s="49"/>
      <c r="AC131" s="50"/>
      <c r="AD131" s="51"/>
      <c r="AE131" s="52"/>
      <c r="AF131" s="47"/>
      <c r="AG131" s="52"/>
      <c r="AH131" s="50"/>
      <c r="AI131" s="53"/>
      <c r="AJ131" s="47"/>
      <c r="AK131" s="40"/>
      <c r="AL131" s="40"/>
      <c r="AM131" s="47"/>
      <c r="AN131" s="40"/>
      <c r="AO131" s="47"/>
      <c r="AP131" s="40"/>
      <c r="AQ131" s="47"/>
      <c r="AR131" s="40"/>
      <c r="AS131" s="47"/>
      <c r="AT131" s="40"/>
      <c r="AU131" s="50"/>
      <c r="AV131" s="51"/>
      <c r="AW131" s="47"/>
      <c r="AX131" s="40"/>
      <c r="AY131" s="40"/>
      <c r="AZ131" s="40"/>
      <c r="BA131" s="47"/>
      <c r="BB131" s="40"/>
    </row>
    <row r="132" spans="5:54">
      <c r="E132" s="22"/>
      <c r="F132" s="150"/>
      <c r="W132" s="48"/>
      <c r="X132" s="49"/>
      <c r="Y132" s="49"/>
      <c r="Z132" s="49"/>
      <c r="AA132" s="49"/>
      <c r="AB132" s="49"/>
      <c r="AC132" s="50"/>
      <c r="AD132" s="51"/>
      <c r="AE132" s="52"/>
      <c r="AF132" s="47"/>
      <c r="AG132" s="52"/>
      <c r="AH132" s="50"/>
      <c r="AI132" s="53"/>
      <c r="AJ132" s="47"/>
      <c r="AK132" s="40"/>
      <c r="AL132" s="40"/>
      <c r="AM132" s="47"/>
      <c r="AN132" s="40"/>
      <c r="AO132" s="47"/>
      <c r="AP132" s="40"/>
      <c r="AQ132" s="47"/>
      <c r="AR132" s="40"/>
      <c r="AS132" s="47"/>
      <c r="AT132" s="40"/>
      <c r="AU132" s="50"/>
      <c r="AV132" s="51"/>
      <c r="AW132" s="47"/>
      <c r="AX132" s="40"/>
      <c r="AY132" s="40"/>
      <c r="AZ132" s="40"/>
      <c r="BA132" s="47"/>
      <c r="BB132" s="40"/>
    </row>
    <row r="133" spans="5:54">
      <c r="E133" s="22"/>
      <c r="F133" s="150"/>
      <c r="W133" s="48"/>
      <c r="X133" s="49"/>
      <c r="Y133" s="49"/>
      <c r="Z133" s="49"/>
      <c r="AA133" s="49"/>
      <c r="AB133" s="49"/>
      <c r="AC133" s="50"/>
      <c r="AD133" s="51"/>
      <c r="AE133" s="52"/>
      <c r="AF133" s="47"/>
      <c r="AG133" s="52"/>
      <c r="AH133" s="50"/>
      <c r="AI133" s="53"/>
      <c r="AJ133" s="47"/>
      <c r="AK133" s="40"/>
      <c r="AL133" s="40"/>
      <c r="AM133" s="47"/>
      <c r="AN133" s="40"/>
      <c r="AO133" s="47"/>
      <c r="AP133" s="40"/>
      <c r="AQ133" s="47"/>
      <c r="AR133" s="40"/>
      <c r="AS133" s="47"/>
      <c r="AT133" s="40"/>
      <c r="AU133" s="50"/>
      <c r="AV133" s="51"/>
      <c r="AW133" s="47"/>
      <c r="AX133" s="40"/>
      <c r="AY133" s="40"/>
      <c r="AZ133" s="40"/>
      <c r="BA133" s="47"/>
      <c r="BB133" s="40"/>
    </row>
    <row r="134" spans="5:54">
      <c r="E134" s="22"/>
      <c r="F134" s="150"/>
      <c r="W134" s="48"/>
      <c r="X134" s="49"/>
      <c r="Y134" s="49"/>
      <c r="Z134" s="49"/>
      <c r="AA134" s="49"/>
      <c r="AB134" s="49"/>
      <c r="AC134" s="50"/>
      <c r="AD134" s="51"/>
      <c r="AE134" s="52"/>
      <c r="AF134" s="47"/>
      <c r="AG134" s="52"/>
      <c r="AH134" s="50"/>
      <c r="AI134" s="53"/>
      <c r="AJ134" s="47"/>
      <c r="AK134" s="40"/>
      <c r="AL134" s="40"/>
      <c r="AM134" s="47"/>
      <c r="AN134" s="40"/>
      <c r="AO134" s="47"/>
      <c r="AP134" s="40"/>
      <c r="AQ134" s="47"/>
      <c r="AR134" s="40"/>
      <c r="AS134" s="47"/>
      <c r="AT134" s="40"/>
      <c r="AU134" s="50"/>
      <c r="AV134" s="51"/>
      <c r="AW134" s="47"/>
      <c r="AX134" s="40"/>
      <c r="AY134" s="40"/>
      <c r="AZ134" s="40"/>
      <c r="BA134" s="47"/>
      <c r="BB134" s="40"/>
    </row>
    <row r="135" spans="5:54">
      <c r="E135" s="22"/>
      <c r="F135" s="150"/>
      <c r="W135" s="48"/>
      <c r="X135" s="49"/>
      <c r="Y135" s="49"/>
      <c r="Z135" s="49"/>
      <c r="AA135" s="49"/>
      <c r="AB135" s="49"/>
      <c r="AC135" s="50"/>
      <c r="AD135" s="51"/>
      <c r="AE135" s="52"/>
      <c r="AF135" s="47"/>
      <c r="AG135" s="52"/>
      <c r="AH135" s="50"/>
      <c r="AI135" s="53"/>
      <c r="AJ135" s="47"/>
      <c r="AK135" s="40"/>
      <c r="AL135" s="40"/>
      <c r="AM135" s="47"/>
      <c r="AN135" s="40"/>
      <c r="AO135" s="47"/>
      <c r="AP135" s="40"/>
      <c r="AQ135" s="47"/>
      <c r="AR135" s="40"/>
      <c r="AS135" s="47"/>
      <c r="AT135" s="40"/>
      <c r="AU135" s="50"/>
      <c r="AV135" s="51"/>
      <c r="AW135" s="47"/>
      <c r="AX135" s="40"/>
      <c r="AY135" s="40"/>
      <c r="AZ135" s="40"/>
      <c r="BA135" s="47"/>
      <c r="BB135" s="40"/>
    </row>
    <row r="136" spans="5:54">
      <c r="E136" s="22"/>
      <c r="F136" s="150"/>
      <c r="W136" s="34"/>
      <c r="X136" s="55"/>
      <c r="Y136" s="55"/>
      <c r="Z136" s="55"/>
      <c r="AA136" s="55"/>
      <c r="AB136" s="55"/>
    </row>
    <row r="137" spans="5:54">
      <c r="E137" s="22"/>
      <c r="F137" s="150"/>
      <c r="W137" s="34"/>
      <c r="X137" s="55"/>
      <c r="Y137" s="55"/>
      <c r="Z137" s="55"/>
      <c r="AA137" s="55"/>
      <c r="AB137" s="55"/>
    </row>
    <row r="138" spans="5:54">
      <c r="E138" s="22"/>
      <c r="F138" s="150"/>
      <c r="W138" s="56"/>
      <c r="X138" s="57"/>
      <c r="Y138" s="57"/>
      <c r="Z138" s="57"/>
      <c r="AA138" s="57"/>
      <c r="AB138" s="57"/>
    </row>
  </sheetData>
  <sheetProtection algorithmName="SHA-512" hashValue="34AjQdgP0QEStut7qYj5EwaG6atL/9yguvka1jjojEAqtJrGbiJyaDqq0hmmeoYqa87/DVPrAYimx4x+vzK8dQ==" saltValue="Z+ybWTLRMCoip09X9v5hfw==" spinCount="100000" sheet="1" selectLockedCells="1" selectUnlockedCells="1"/>
  <mergeCells count="27">
    <mergeCell ref="AH6:AI6"/>
    <mergeCell ref="AF6:AG6"/>
    <mergeCell ref="U6:V6"/>
    <mergeCell ref="BA6:BB6"/>
    <mergeCell ref="AW6:AX6"/>
    <mergeCell ref="AU6:AV6"/>
    <mergeCell ref="AS6:AT6"/>
    <mergeCell ref="AQ6:AR6"/>
    <mergeCell ref="AO6:AP6"/>
    <mergeCell ref="AM6:AN6"/>
    <mergeCell ref="W6:Y6"/>
    <mergeCell ref="AC6:AE6"/>
    <mergeCell ref="AJ6:AL6"/>
    <mergeCell ref="Z6:AB6"/>
    <mergeCell ref="AY6:AZ6"/>
    <mergeCell ref="B2:C3"/>
    <mergeCell ref="D2:D3"/>
    <mergeCell ref="E2:E3"/>
    <mergeCell ref="F2:G3"/>
    <mergeCell ref="H2:N3"/>
    <mergeCell ref="B6:B7"/>
    <mergeCell ref="O6:Q6"/>
    <mergeCell ref="F6:F7"/>
    <mergeCell ref="C6:C7"/>
    <mergeCell ref="D6:D7"/>
    <mergeCell ref="E6:E7"/>
    <mergeCell ref="I6:N6"/>
  </mergeCells>
  <phoneticPr fontId="31" type="noConversion"/>
  <conditionalFormatting sqref="Z88">
    <cfRule type="expression" dxfId="56" priority="35">
      <formula>$O$2="off"</formula>
    </cfRule>
  </conditionalFormatting>
  <conditionalFormatting sqref="Z90">
    <cfRule type="expression" dxfId="55" priority="34">
      <formula>$O$2="off"</formula>
    </cfRule>
  </conditionalFormatting>
  <conditionalFormatting sqref="Z91">
    <cfRule type="expression" dxfId="54" priority="33">
      <formula>$O$2="off"</formula>
    </cfRule>
  </conditionalFormatting>
  <conditionalFormatting sqref="Z92">
    <cfRule type="expression" dxfId="53" priority="32">
      <formula>$O$2="off"</formula>
    </cfRule>
  </conditionalFormatting>
  <conditionalFormatting sqref="Z93">
    <cfRule type="expression" dxfId="52" priority="31">
      <formula>$O$2="off"</formula>
    </cfRule>
  </conditionalFormatting>
  <conditionalFormatting sqref="Z94">
    <cfRule type="expression" dxfId="51" priority="30">
      <formula>$O$2="off"</formula>
    </cfRule>
  </conditionalFormatting>
  <conditionalFormatting sqref="Z95">
    <cfRule type="expression" dxfId="50" priority="29">
      <formula>$O$2="off"</formula>
    </cfRule>
  </conditionalFormatting>
  <conditionalFormatting sqref="Z96">
    <cfRule type="expression" dxfId="49" priority="28">
      <formula>$O$2="off"</formula>
    </cfRule>
  </conditionalFormatting>
  <conditionalFormatting sqref="Z97">
    <cfRule type="expression" dxfId="48" priority="27">
      <formula>$O$2="off"</formula>
    </cfRule>
  </conditionalFormatting>
  <conditionalFormatting sqref="Z99">
    <cfRule type="expression" dxfId="47" priority="26">
      <formula>$O$2="off"</formula>
    </cfRule>
  </conditionalFormatting>
  <conditionalFormatting sqref="Z100">
    <cfRule type="expression" dxfId="46" priority="25">
      <formula>$O$2="off"</formula>
    </cfRule>
  </conditionalFormatting>
  <conditionalFormatting sqref="Z101">
    <cfRule type="expression" dxfId="45" priority="24">
      <formula>$O$2="off"</formula>
    </cfRule>
  </conditionalFormatting>
  <conditionalFormatting sqref="Z102">
    <cfRule type="expression" dxfId="44" priority="23">
      <formula>$O$2="off"</formula>
    </cfRule>
  </conditionalFormatting>
  <conditionalFormatting sqref="Z103">
    <cfRule type="expression" dxfId="43" priority="22">
      <formula>$O$2="off"</formula>
    </cfRule>
  </conditionalFormatting>
  <conditionalFormatting sqref="Z104">
    <cfRule type="expression" dxfId="42" priority="21">
      <formula>$O$2="off"</formula>
    </cfRule>
  </conditionalFormatting>
  <conditionalFormatting sqref="Z105">
    <cfRule type="expression" dxfId="41" priority="20">
      <formula>$O$2="off"</formula>
    </cfRule>
  </conditionalFormatting>
  <conditionalFormatting sqref="Z106">
    <cfRule type="expression" dxfId="40" priority="19">
      <formula>$O$2="off"</formula>
    </cfRule>
  </conditionalFormatting>
  <conditionalFormatting sqref="Z108">
    <cfRule type="expression" dxfId="39" priority="18">
      <formula>$O$2="off"</formula>
    </cfRule>
  </conditionalFormatting>
  <conditionalFormatting sqref="Z107">
    <cfRule type="expression" dxfId="38" priority="17">
      <formula>$O$2="off"</formula>
    </cfRule>
  </conditionalFormatting>
  <conditionalFormatting sqref="Z109">
    <cfRule type="expression" dxfId="37" priority="16">
      <formula>$O$2="off"</formula>
    </cfRule>
  </conditionalFormatting>
  <conditionalFormatting sqref="Z110">
    <cfRule type="expression" dxfId="36" priority="15">
      <formula>$O$2="off"</formula>
    </cfRule>
  </conditionalFormatting>
  <conditionalFormatting sqref="Z111">
    <cfRule type="expression" dxfId="35" priority="14">
      <formula>$O$2="off"</formula>
    </cfRule>
  </conditionalFormatting>
  <conditionalFormatting sqref="Z113">
    <cfRule type="expression" dxfId="34" priority="13">
      <formula>$O$2="off"</formula>
    </cfRule>
  </conditionalFormatting>
  <conditionalFormatting sqref="Z114">
    <cfRule type="expression" dxfId="33" priority="12">
      <formula>$O$2="off"</formula>
    </cfRule>
  </conditionalFormatting>
  <conditionalFormatting sqref="Z115">
    <cfRule type="expression" dxfId="32" priority="11">
      <formula>$O$2="off"</formula>
    </cfRule>
  </conditionalFormatting>
  <conditionalFormatting sqref="Z116">
    <cfRule type="expression" dxfId="31" priority="10">
      <formula>$O$2="off"</formula>
    </cfRule>
  </conditionalFormatting>
  <conditionalFormatting sqref="Z119">
    <cfRule type="expression" dxfId="30" priority="9">
      <formula>$O$2="off"</formula>
    </cfRule>
  </conditionalFormatting>
  <conditionalFormatting sqref="Z121">
    <cfRule type="expression" dxfId="29" priority="8">
      <formula>$O$2="off"</formula>
    </cfRule>
  </conditionalFormatting>
  <conditionalFormatting sqref="AC55:AC58">
    <cfRule type="expression" dxfId="28" priority="7">
      <formula>$O$2="off"</formula>
    </cfRule>
  </conditionalFormatting>
  <conditionalFormatting sqref="AC59:AC61">
    <cfRule type="expression" dxfId="27" priority="6">
      <formula>$O$2="off"</formula>
    </cfRule>
  </conditionalFormatting>
  <conditionalFormatting sqref="AC62:AC65">
    <cfRule type="expression" dxfId="26" priority="5">
      <formula>$O$2="off"</formula>
    </cfRule>
  </conditionalFormatting>
  <conditionalFormatting sqref="D49:R85 U85:V121 A48:B121 A122:BB125 W90:Y97 W98:AG98 W99:Y111 W112:AG112 W113:Y116 W119:Y119 AA119:AG119 W120:AG120 W121:Y121 AA121:AG121 W88:Y88 AA88:AG88 W55:AB65 W89:AG89 S85:T85 F8:BB8 AK9:BB121 D48:AJ48 S49:AJ49 AH50:AJ121 S50:V84 D86:T121 AE50:AG87 W66:AC87 AE113:AG118 F9:AJ47 W50:AD54 AD55:AD87 AA90:AG97 AA99:AG111 AA113:AD116 W117:AD118">
    <cfRule type="expression" dxfId="25" priority="1">
      <formula>$O$2="off"</formula>
    </cfRule>
  </conditionalFormatting>
  <pageMargins left="0.15722222626209259" right="0.11777777969837189" top="0.27541667222976685" bottom="0.31486111879348755" header="0.31486111879348755" footer="0.31486111879348755"/>
  <pageSetup paperSize="9" scale="50"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2:L39"/>
  <sheetViews>
    <sheetView tabSelected="1" zoomScaleNormal="100" zoomScaleSheetLayoutView="75" workbookViewId="0">
      <selection activeCell="G5" sqref="G5:K5"/>
    </sheetView>
  </sheetViews>
  <sheetFormatPr defaultColWidth="16" defaultRowHeight="16.5"/>
  <cols>
    <col min="1" max="1" width="4" style="14" customWidth="1"/>
    <col min="2" max="2" width="6" style="14" customWidth="1"/>
    <col min="3" max="3" width="6.75" style="14" customWidth="1"/>
    <col min="4" max="4" width="5.875" style="14" customWidth="1"/>
    <col min="5" max="5" width="2.375" style="14" customWidth="1"/>
    <col min="6" max="6" width="9.375" style="14" customWidth="1"/>
    <col min="7" max="7" width="13.25" style="14" customWidth="1"/>
    <col min="8" max="8" width="4" style="14" customWidth="1"/>
    <col min="9" max="9" width="5.875" style="14" customWidth="1"/>
    <col min="10" max="10" width="5.125" style="14" customWidth="1"/>
    <col min="11" max="11" width="4.875" style="14" customWidth="1"/>
    <col min="12" max="19" width="6" style="14" customWidth="1"/>
    <col min="20" max="20" width="7.5" style="14" bestFit="1" customWidth="1"/>
    <col min="21" max="27" width="6" style="14" customWidth="1"/>
    <col min="28" max="16384" width="16" style="14"/>
  </cols>
  <sheetData>
    <row r="2" spans="2:12" ht="12.75" customHeight="1">
      <c r="B2" s="100"/>
      <c r="C2" s="101"/>
      <c r="D2" s="101"/>
      <c r="E2" s="101"/>
      <c r="F2" s="101"/>
      <c r="G2" s="101"/>
      <c r="H2" s="101"/>
      <c r="I2" s="101"/>
      <c r="J2" s="101"/>
      <c r="K2" s="101"/>
      <c r="L2" s="102"/>
    </row>
    <row r="3" spans="2:12" s="15" customFormat="1" ht="31.5" customHeight="1">
      <c r="B3" s="103"/>
      <c r="C3" s="208" t="s">
        <v>135</v>
      </c>
      <c r="D3" s="209"/>
      <c r="E3" s="209"/>
      <c r="F3" s="209"/>
      <c r="G3" s="209"/>
      <c r="H3" s="209"/>
      <c r="I3" s="209"/>
      <c r="J3" s="209"/>
      <c r="K3" s="210"/>
      <c r="L3" s="113"/>
    </row>
    <row r="4" spans="2:12" ht="10.5" customHeight="1">
      <c r="B4" s="104"/>
      <c r="C4" s="110"/>
      <c r="D4" s="110"/>
      <c r="E4" s="110"/>
      <c r="F4" s="110"/>
      <c r="G4" s="111"/>
      <c r="H4" s="111"/>
      <c r="I4" s="111"/>
      <c r="J4" s="111"/>
      <c r="K4" s="110"/>
      <c r="L4" s="112"/>
    </row>
    <row r="5" spans="2:12" s="16" customFormat="1" ht="21.75" customHeight="1">
      <c r="B5" s="105"/>
      <c r="C5" s="205" t="s">
        <v>136</v>
      </c>
      <c r="D5" s="205"/>
      <c r="E5" s="205"/>
      <c r="F5" s="205"/>
      <c r="G5" s="206"/>
      <c r="H5" s="207"/>
      <c r="I5" s="207"/>
      <c r="J5" s="207"/>
      <c r="K5" s="207"/>
      <c r="L5" s="114"/>
    </row>
    <row r="6" spans="2:12" s="16" customFormat="1" ht="21.75" customHeight="1">
      <c r="B6" s="105"/>
      <c r="C6" s="161" t="s">
        <v>111</v>
      </c>
      <c r="D6" s="204" t="e">
        <f>VLOOKUP(G5,데이터!$B$8:$BA$121,4,FALSE)</f>
        <v>#N/A</v>
      </c>
      <c r="E6" s="204"/>
      <c r="F6" s="204"/>
      <c r="G6" s="204"/>
      <c r="H6" s="130" t="s">
        <v>147</v>
      </c>
      <c r="I6" s="125" t="e">
        <f>VLOOKUP(G5,데이터!$B$8:$BA$121,3,FALSE)</f>
        <v>#N/A</v>
      </c>
      <c r="J6" s="123" t="s">
        <v>140</v>
      </c>
      <c r="K6" s="122" t="s">
        <v>152</v>
      </c>
      <c r="L6" s="114"/>
    </row>
    <row r="7" spans="2:12" s="16" customFormat="1" ht="15.75" customHeight="1">
      <c r="B7" s="105"/>
      <c r="C7" s="111"/>
      <c r="D7" s="111"/>
      <c r="E7" s="111"/>
      <c r="F7" s="111"/>
      <c r="G7" s="111"/>
      <c r="H7" s="111"/>
      <c r="I7" s="111"/>
      <c r="J7" s="111"/>
      <c r="K7" s="111"/>
      <c r="L7" s="114"/>
    </row>
    <row r="8" spans="2:12" s="19" customFormat="1" ht="24" customHeight="1">
      <c r="B8" s="106"/>
      <c r="C8" s="196" t="s">
        <v>138</v>
      </c>
      <c r="D8" s="196"/>
      <c r="E8" s="211" t="str">
        <f>데이터!R125</f>
        <v>수업료</v>
      </c>
      <c r="F8" s="211"/>
      <c r="G8" s="126" t="e">
        <f>IF(VLOOKUP($G$5,데이터!$B$8:$BB$121,9,FALSE)="","",VLOOKUP($G$5,데이터!$B$8:$BB$121,9,FALSE))</f>
        <v>#N/A</v>
      </c>
      <c r="H8" s="214" t="e">
        <f>IF(ISBLANK(VLOOKUP($G$5,데이터!$B$8:$BB$121,8,FALSE)),0,VLOOKUP($G$5,데이터!$B$8:$BB$121,8,FALSE))</f>
        <v>#N/A</v>
      </c>
      <c r="I8" s="215"/>
      <c r="J8" s="215"/>
      <c r="K8" s="127" t="s">
        <v>142</v>
      </c>
      <c r="L8" s="115"/>
    </row>
    <row r="9" spans="2:12" s="19" customFormat="1" ht="24" customHeight="1">
      <c r="B9" s="106"/>
      <c r="C9" s="196"/>
      <c r="D9" s="196"/>
      <c r="E9" s="211" t="s">
        <v>144</v>
      </c>
      <c r="F9" s="211"/>
      <c r="G9" s="126" t="e">
        <f>IF(VLOOKUP($G$5,데이터!$B$8:$BB$121,11,FALSE)="","",VLOOKUP($G$5,데이터!$B$8:$BB$121,11,FALSE))</f>
        <v>#N/A</v>
      </c>
      <c r="H9" s="214" t="e">
        <f>IF(ISBLANK(VLOOKUP($G$5,데이터!$B$8:$BB$121,10,FALSE)),0,VLOOKUP($G$5,데이터!$B$8:$BB$121,10,FALSE))</f>
        <v>#N/A</v>
      </c>
      <c r="I9" s="215"/>
      <c r="J9" s="215"/>
      <c r="K9" s="127" t="s">
        <v>142</v>
      </c>
      <c r="L9" s="115"/>
    </row>
    <row r="10" spans="2:12" s="97" customFormat="1" ht="24" customHeight="1">
      <c r="B10" s="106"/>
      <c r="C10" s="196"/>
      <c r="D10" s="196"/>
      <c r="E10" s="212" t="str">
        <f>데이터!M125</f>
        <v>기숙사비</v>
      </c>
      <c r="F10" s="213"/>
      <c r="G10" s="128" t="e">
        <f>IF(VLOOKUP($G$5,데이터!$B$8:$BB$121,13,FALSE)="","",VLOOKUP($G$5,데이터!$B$8:$BB$121,13,FALSE))</f>
        <v>#N/A</v>
      </c>
      <c r="H10" s="197" t="e">
        <f>VLOOKUP($G$5,데이터!$B$8:$BB$121,12,FALSE)</f>
        <v>#N/A</v>
      </c>
      <c r="I10" s="198"/>
      <c r="J10" s="198"/>
      <c r="K10" s="129" t="s">
        <v>142</v>
      </c>
      <c r="L10" s="115"/>
    </row>
    <row r="11" spans="2:12" s="97" customFormat="1" ht="24" hidden="1" customHeight="1">
      <c r="B11" s="106"/>
      <c r="C11" s="216" t="s">
        <v>165</v>
      </c>
      <c r="D11" s="217"/>
      <c r="E11" s="201" t="s">
        <v>148</v>
      </c>
      <c r="F11" s="202"/>
      <c r="G11" s="203"/>
      <c r="H11" s="197" t="e">
        <f>VLOOKUP($G$5,데이터!$B$8:$BB$121,17,FALSE)-VLOOKUP($G$5,데이터!$B$8:$BB$121,14,FALSE)</f>
        <v>#N/A</v>
      </c>
      <c r="I11" s="198"/>
      <c r="J11" s="198"/>
      <c r="K11" s="129" t="s">
        <v>142</v>
      </c>
      <c r="L11" s="115"/>
    </row>
    <row r="12" spans="2:12" s="97" customFormat="1" ht="24" customHeight="1">
      <c r="B12" s="106"/>
      <c r="C12" s="195" t="s">
        <v>164</v>
      </c>
      <c r="D12" s="196"/>
      <c r="E12" s="201" t="str">
        <f>데이터!S125</f>
        <v>급식비</v>
      </c>
      <c r="F12" s="202"/>
      <c r="G12" s="203"/>
      <c r="H12" s="197" t="e">
        <f>VLOOKUP($G$5,데이터!$B$8:$BB$121,18,FALSE)-VLOOKUP($G$5,데이터!$B$8:$BB$121,15,FALSE)</f>
        <v>#N/A</v>
      </c>
      <c r="I12" s="198"/>
      <c r="J12" s="198"/>
      <c r="K12" s="129" t="s">
        <v>142</v>
      </c>
      <c r="L12" s="115"/>
    </row>
    <row r="13" spans="2:12" s="97" customFormat="1" ht="24" customHeight="1">
      <c r="B13" s="106"/>
      <c r="C13" s="196"/>
      <c r="D13" s="196"/>
      <c r="E13" s="201" t="str">
        <f>데이터!T125</f>
        <v>기숙사비</v>
      </c>
      <c r="F13" s="202"/>
      <c r="G13" s="203"/>
      <c r="H13" s="197" t="e">
        <f>VLOOKUP($G$5,데이터!$B$8:$BB$121,19,FALSE)-VLOOKUP($G$5,데이터!$B$8:$BB$121,16,FALSE)</f>
        <v>#N/A</v>
      </c>
      <c r="I13" s="198"/>
      <c r="J13" s="198"/>
      <c r="K13" s="129" t="s">
        <v>142</v>
      </c>
      <c r="L13" s="115"/>
    </row>
    <row r="14" spans="2:12" s="97" customFormat="1" ht="24" customHeight="1">
      <c r="B14" s="106"/>
      <c r="C14" s="196"/>
      <c r="D14" s="196"/>
      <c r="E14" s="193" t="e">
        <f>IF(H14=0,"",데이터!U6)</f>
        <v>#N/A</v>
      </c>
      <c r="F14" s="194"/>
      <c r="G14" s="132" t="e">
        <f>IF(VLOOKUP($G$5,데이터!$B$8:$BB$121,21,FALSE)="","",VLOOKUP($G$5,데이터!$B$8:$BB$121,21,FALSE))</f>
        <v>#N/A</v>
      </c>
      <c r="H14" s="199" t="e">
        <f>IF(VLOOKUP($G$5,데이터!$B$8:$BB$121,20,FALSE)="",0,VLOOKUP($G$5,데이터!$B$8:$BB$121,20,FALSE))</f>
        <v>#N/A</v>
      </c>
      <c r="I14" s="200"/>
      <c r="J14" s="200"/>
      <c r="K14" s="131" t="s">
        <v>142</v>
      </c>
      <c r="L14" s="115"/>
    </row>
    <row r="15" spans="2:12" s="19" customFormat="1" ht="24" customHeight="1">
      <c r="B15" s="106"/>
      <c r="C15" s="212" t="s">
        <v>183</v>
      </c>
      <c r="D15" s="213"/>
      <c r="E15" s="234" t="e">
        <f>IF(VLOOKUP($G$5,데이터!$B$8:$BB$121,23,FALSE)="","",IF(VLOOKUP($G$5,데이터!$B$8:$BB$121,24,FALSE)="","(12월분)",VLOOKUP($G$5,데이터!$B$8:$BB$121,24,FALSE)))</f>
        <v>#N/A</v>
      </c>
      <c r="F15" s="234"/>
      <c r="G15" s="235"/>
      <c r="H15" s="214" t="e">
        <f>IF(VLOOKUP($G$5,데이터!$B$8:$BB$121,23,FALSE)="",0,VLOOKUP($G$5,데이터!$B$8:$BB$121,22,FALSE))</f>
        <v>#N/A</v>
      </c>
      <c r="I15" s="215"/>
      <c r="J15" s="215"/>
      <c r="K15" s="127" t="s">
        <v>142</v>
      </c>
      <c r="L15" s="115"/>
    </row>
    <row r="16" spans="2:12" s="19" customFormat="1" ht="24" customHeight="1">
      <c r="B16" s="106"/>
      <c r="C16" s="212" t="e">
        <f>IF(VLOOKUP($G$5,데이터!$B$8:$BB$121,26,FALSE)="","","우유비")</f>
        <v>#N/A</v>
      </c>
      <c r="D16" s="213"/>
      <c r="E16" s="234" t="e">
        <f>IF(VLOOKUP($G$5,데이터!$B$8:$BB$121,26,FALSE)="","",IF(VLOOKUP($G$5,데이터!$B$8:$BB$121,27,FALSE)="","(1~2월분)",VLOOKUP($G$5,데이터!$B$8:$BB$121,27,FALSE)))</f>
        <v>#N/A</v>
      </c>
      <c r="F16" s="234"/>
      <c r="G16" s="235"/>
      <c r="H16" s="214" t="e">
        <f>IF(VLOOKUP($G$5,데이터!$B$8:$BB$121,26,FALSE)="",0,VLOOKUP($G$5,데이터!$B$8:$BB$121,25,FALSE))</f>
        <v>#N/A</v>
      </c>
      <c r="I16" s="215"/>
      <c r="J16" s="215"/>
      <c r="K16" s="127" t="s">
        <v>142</v>
      </c>
      <c r="L16" s="115"/>
    </row>
    <row r="17" spans="2:12" s="19" customFormat="1" ht="24" customHeight="1">
      <c r="B17" s="106"/>
      <c r="C17" s="212" t="e">
        <f>IF(VLOOKUP($G$5,데이터!$B$8:$BB$121,29,FALSE)="","",데이터!AC124)</f>
        <v>#N/A</v>
      </c>
      <c r="D17" s="213"/>
      <c r="E17" s="234" t="e">
        <f>IF(VLOOKUP($G$5,데이터!$B$8:$BB$121,30,FALSE)="","",VLOOKUP($G$5,데이터!$B$8:$BB$121,30,FALSE))</f>
        <v>#N/A</v>
      </c>
      <c r="F17" s="234"/>
      <c r="G17" s="235"/>
      <c r="H17" s="197" t="e">
        <f>IF(VLOOKUP($G$5,데이터!$B$8:$BB$121,29,FALSE)="",0,VLOOKUP($G$5,데이터!$B$8:$BB$121,28,FALSE))</f>
        <v>#N/A</v>
      </c>
      <c r="I17" s="198"/>
      <c r="J17" s="198"/>
      <c r="K17" s="124" t="s">
        <v>142</v>
      </c>
      <c r="L17" s="115"/>
    </row>
    <row r="18" spans="2:12" s="19" customFormat="1" ht="24.75" customHeight="1">
      <c r="B18" s="106"/>
      <c r="C18" s="212" t="e">
        <f>IF(VLOOKUP($G$5,데이터!$B$8:$BB$121,41,FALSE)="","","졸업앨범비")</f>
        <v>#N/A</v>
      </c>
      <c r="D18" s="213"/>
      <c r="E18" s="213"/>
      <c r="F18" s="213"/>
      <c r="G18" s="225"/>
      <c r="H18" s="197" t="e">
        <f>IF(VLOOKUP($G$5,데이터!$B$8:$BB$121,40,FALSE)="",0,VLOOKUP($G$5,데이터!$B$8:$BB$121,40,FALSE))</f>
        <v>#N/A</v>
      </c>
      <c r="I18" s="198"/>
      <c r="J18" s="198"/>
      <c r="K18" s="129" t="s">
        <v>142</v>
      </c>
      <c r="L18" s="115"/>
    </row>
    <row r="19" spans="2:12" s="19" customFormat="1" ht="24" customHeight="1">
      <c r="B19" s="106"/>
      <c r="C19" s="212" t="e">
        <f>IF(VLOOKUP($G$5,데이터!$B$8:$BB$121,32,FALSE)="","",데이터!AF124)</f>
        <v>#N/A</v>
      </c>
      <c r="D19" s="213"/>
      <c r="E19" s="213"/>
      <c r="F19" s="213"/>
      <c r="G19" s="225"/>
      <c r="H19" s="236" t="e">
        <f>IF(VLOOKUP($G$5,데이터!$B$8:$BB$121,31,FALSE)="",0,VLOOKUP($G$5,데이터!$B$8:$BB$121,31,FALSE))</f>
        <v>#N/A</v>
      </c>
      <c r="I19" s="237"/>
      <c r="J19" s="237"/>
      <c r="K19" s="129" t="s">
        <v>142</v>
      </c>
      <c r="L19" s="115"/>
    </row>
    <row r="20" spans="2:12" s="19" customFormat="1" ht="24" customHeight="1">
      <c r="B20" s="106"/>
      <c r="C20" s="212" t="e">
        <f>IF(VLOOKUP($G$5,데이터!$B$8:$BB$121,39,FALSE)="","",데이터!AM124)</f>
        <v>#N/A</v>
      </c>
      <c r="D20" s="213"/>
      <c r="E20" s="213"/>
      <c r="F20" s="213"/>
      <c r="G20" s="225"/>
      <c r="H20" s="236" t="e">
        <f>IF(VLOOKUP($G$5,데이터!$B$8:$BB$121,39,FALSE)="",0,VLOOKUP($G$5,데이터!$B$8:$BB$121,38,FALSE))</f>
        <v>#N/A</v>
      </c>
      <c r="I20" s="237"/>
      <c r="J20" s="237"/>
      <c r="K20" s="129" t="s">
        <v>142</v>
      </c>
      <c r="L20" s="115"/>
    </row>
    <row r="21" spans="2:12" s="19" customFormat="1" ht="24.75" customHeight="1">
      <c r="B21" s="106"/>
      <c r="C21" s="212" t="e">
        <f>IF(VLOOKUP($G$5,데이터!$B$8:$BB$121,36,FALSE)="","",데이터!AJ124)</f>
        <v>#N/A</v>
      </c>
      <c r="D21" s="213"/>
      <c r="E21" s="213"/>
      <c r="F21" s="213"/>
      <c r="G21" s="225"/>
      <c r="H21" s="236" t="e">
        <f>IF(VLOOKUP($G$5,데이터!$B$8:$BB$121,35,FALSE)="",0,VLOOKUP($G$5,데이터!$B$8:$BB$121,35,FALSE))</f>
        <v>#N/A</v>
      </c>
      <c r="I21" s="237"/>
      <c r="J21" s="237"/>
      <c r="K21" s="154" t="s">
        <v>142</v>
      </c>
      <c r="L21" s="115"/>
    </row>
    <row r="22" spans="2:12" s="19" customFormat="1" ht="24.75" hidden="1" customHeight="1">
      <c r="B22" s="106"/>
      <c r="C22" s="212" t="e">
        <f>IF(VLOOKUP($G$5,데이터!$B$8:$BB$121,43,FALSE)="","",데이터!AJ124)</f>
        <v>#N/A</v>
      </c>
      <c r="D22" s="213"/>
      <c r="E22" s="213"/>
      <c r="F22" s="213"/>
      <c r="G22" s="225"/>
      <c r="H22" s="197" t="e">
        <f>IF(VLOOKUP($G$5,데이터!$B$8:$BB$121,43,FALSE)="",0,VLOOKUP($G$5,데이터!$B$8:$BB$121,42,FALSE))</f>
        <v>#N/A</v>
      </c>
      <c r="I22" s="198"/>
      <c r="J22" s="198"/>
      <c r="K22" s="129" t="s">
        <v>142</v>
      </c>
      <c r="L22" s="115"/>
    </row>
    <row r="23" spans="2:12" s="19" customFormat="1" ht="24.75" hidden="1" customHeight="1">
      <c r="B23" s="106"/>
      <c r="C23" s="212" t="e">
        <f>IF(VLOOKUP($G$5,데이터!$B$8:$BB$121,45,FALSE)="","",데이터!AS124)</f>
        <v>#N/A</v>
      </c>
      <c r="D23" s="213"/>
      <c r="E23" s="213"/>
      <c r="F23" s="213"/>
      <c r="G23" s="225"/>
      <c r="H23" s="197" t="e">
        <f>IF(VLOOKUP($G$5,데이터!$B$8:$BB$121,45,FALSE)="",0,VLOOKUP($G$5,데이터!$B$8:$BB$121,44,FALSE))</f>
        <v>#N/A</v>
      </c>
      <c r="I23" s="198"/>
      <c r="J23" s="198"/>
      <c r="K23" s="129" t="s">
        <v>142</v>
      </c>
      <c r="L23" s="115"/>
    </row>
    <row r="24" spans="2:12" s="19" customFormat="1" ht="24.75" hidden="1" customHeight="1">
      <c r="B24" s="106"/>
      <c r="C24" s="212" t="e">
        <f>IF(VLOOKUP($G$5,데이터!$B$8:$BB$121,47,FALSE)="","",데이터!AU124)</f>
        <v>#N/A</v>
      </c>
      <c r="D24" s="213"/>
      <c r="E24" s="213"/>
      <c r="F24" s="213"/>
      <c r="G24" s="225"/>
      <c r="H24" s="197" t="e">
        <f>IF(VLOOKUP($G$5,데이터!$B$8:$BB$121,47,FALSE)="",0,VLOOKUP($G$5,데이터!$B$8:$BB$121,46,FALSE))</f>
        <v>#N/A</v>
      </c>
      <c r="I24" s="198"/>
      <c r="J24" s="198"/>
      <c r="K24" s="129" t="s">
        <v>142</v>
      </c>
      <c r="L24" s="115"/>
    </row>
    <row r="25" spans="2:12" s="19" customFormat="1" ht="24.75" customHeight="1">
      <c r="B25" s="106"/>
      <c r="C25" s="212" t="e">
        <f>IF(VLOOKUP($G$5,데이터!$B$8:$BB$121,34,FALSE)="","",데이터!AH124)</f>
        <v>#N/A</v>
      </c>
      <c r="D25" s="213"/>
      <c r="E25" s="213"/>
      <c r="F25" s="213"/>
      <c r="G25" s="225"/>
      <c r="H25" s="223" t="e">
        <f>IF(VLOOKUP($G$5,데이터!$B$8:$BB$121,33,FALSE)="",0,VLOOKUP($G$5,데이터!$B$8:$BB$121,33,FALSE))</f>
        <v>#N/A</v>
      </c>
      <c r="I25" s="224"/>
      <c r="J25" s="224"/>
      <c r="K25" s="124" t="s">
        <v>142</v>
      </c>
      <c r="L25" s="115"/>
    </row>
    <row r="26" spans="2:12" s="19" customFormat="1" ht="24.75" hidden="1" customHeight="1">
      <c r="B26" s="106"/>
      <c r="C26" s="212" t="e">
        <f>IF(VLOOKUP($G$5,데이터!$B$8:$BB$121,49,FALSE)="","",데이터!AW124)</f>
        <v>#N/A</v>
      </c>
      <c r="D26" s="213"/>
      <c r="E26" s="213"/>
      <c r="F26" s="213"/>
      <c r="G26" s="225"/>
      <c r="H26" s="223" t="e">
        <f>IF(VLOOKUP($G$5,데이터!$B$8:$BB$121,49,FALSE)="",0,VLOOKUP($G$5,데이터!$B$8:$BB$121,48,FALSE))</f>
        <v>#N/A</v>
      </c>
      <c r="I26" s="224"/>
      <c r="J26" s="224"/>
      <c r="K26" s="124" t="s">
        <v>142</v>
      </c>
      <c r="L26" s="115"/>
    </row>
    <row r="27" spans="2:12" s="19" customFormat="1" ht="24.75" hidden="1" customHeight="1">
      <c r="B27" s="106"/>
      <c r="C27" s="212" t="e">
        <f>IF(VLOOKUP($G$5,데이터!$B$8:$BB$121,51,FALSE)="","",데이터!AY124)</f>
        <v>#N/A</v>
      </c>
      <c r="D27" s="213"/>
      <c r="E27" s="213"/>
      <c r="F27" s="213"/>
      <c r="G27" s="225"/>
      <c r="H27" s="223" t="e">
        <f>IF(VLOOKUP($G$5,데이터!$B$8:$BB$121,51,FALSE)="",0,VLOOKUP($G$5,데이터!$B$8:$BB$121,50,FALSE))</f>
        <v>#N/A</v>
      </c>
      <c r="I27" s="224"/>
      <c r="J27" s="224"/>
      <c r="K27" s="124" t="s">
        <v>142</v>
      </c>
      <c r="L27" s="115"/>
    </row>
    <row r="28" spans="2:12" s="19" customFormat="1" ht="24.75" hidden="1" customHeight="1">
      <c r="B28" s="106"/>
      <c r="C28" s="212" t="e">
        <f>IF(VLOOKUP($G$5,데이터!$B$8:$BB$121,53,FALSE)="","",데이터!BA124)</f>
        <v>#N/A</v>
      </c>
      <c r="D28" s="213"/>
      <c r="E28" s="213"/>
      <c r="F28" s="213"/>
      <c r="G28" s="225"/>
      <c r="H28" s="223" t="e">
        <f>IF(VLOOKUP($G$5,데이터!$B$8:$BB$121,53,FALSE)="",0,VLOOKUP($G$5,데이터!$B$8:$BB$121,52,FALSE))</f>
        <v>#N/A</v>
      </c>
      <c r="I28" s="224"/>
      <c r="J28" s="224"/>
      <c r="K28" s="124" t="s">
        <v>142</v>
      </c>
      <c r="L28" s="115"/>
    </row>
    <row r="29" spans="2:12" s="96" customFormat="1" ht="26.25" customHeight="1">
      <c r="B29" s="107"/>
      <c r="C29" s="221" t="s">
        <v>31</v>
      </c>
      <c r="D29" s="222"/>
      <c r="E29" s="222"/>
      <c r="F29" s="222"/>
      <c r="G29" s="222"/>
      <c r="H29" s="226" t="e">
        <f>H8+H10+H12+H13+H15+H17+H18+H19-H14+H20+H21+H22+H23+H24+H25+H26+H27+H28+H9+H11+H16</f>
        <v>#N/A</v>
      </c>
      <c r="I29" s="227"/>
      <c r="J29" s="227"/>
      <c r="K29" s="165" t="s">
        <v>142</v>
      </c>
      <c r="L29" s="116"/>
    </row>
    <row r="30" spans="2:12" s="17" customFormat="1" ht="8.25" customHeight="1">
      <c r="B30" s="104"/>
      <c r="C30" s="111"/>
      <c r="D30" s="111"/>
      <c r="E30" s="111"/>
      <c r="F30" s="111"/>
      <c r="G30" s="111"/>
      <c r="H30" s="111"/>
      <c r="I30" s="111"/>
      <c r="J30" s="111"/>
      <c r="K30" s="110"/>
      <c r="L30" s="112"/>
    </row>
    <row r="31" spans="2:12" ht="25.5" customHeight="1">
      <c r="B31" s="104"/>
      <c r="C31" s="218" t="s">
        <v>168</v>
      </c>
      <c r="D31" s="219"/>
      <c r="E31" s="219"/>
      <c r="F31" s="219"/>
      <c r="G31" s="219"/>
      <c r="H31" s="219"/>
      <c r="I31" s="219"/>
      <c r="J31" s="219"/>
      <c r="K31" s="220"/>
      <c r="L31" s="112"/>
    </row>
    <row r="32" spans="2:12" ht="10.5" customHeight="1">
      <c r="B32" s="104"/>
      <c r="C32" s="111"/>
      <c r="D32" s="111"/>
      <c r="E32" s="111"/>
      <c r="F32" s="111"/>
      <c r="G32" s="111"/>
      <c r="H32" s="111"/>
      <c r="I32" s="111"/>
      <c r="J32" s="111"/>
      <c r="K32" s="110"/>
      <c r="L32" s="112"/>
    </row>
    <row r="33" spans="2:12" ht="23.25" customHeight="1">
      <c r="B33" s="104"/>
      <c r="C33" s="230" t="s">
        <v>170</v>
      </c>
      <c r="D33" s="231"/>
      <c r="E33" s="231"/>
      <c r="F33" s="231"/>
      <c r="G33" s="231"/>
      <c r="H33" s="231"/>
      <c r="I33" s="231"/>
      <c r="J33" s="231"/>
      <c r="K33" s="232"/>
      <c r="L33" s="112"/>
    </row>
    <row r="34" spans="2:12" ht="23.25" customHeight="1">
      <c r="B34" s="104"/>
      <c r="C34" s="190" t="s">
        <v>169</v>
      </c>
      <c r="D34" s="191"/>
      <c r="E34" s="191"/>
      <c r="F34" s="191"/>
      <c r="G34" s="191"/>
      <c r="H34" s="191"/>
      <c r="I34" s="191"/>
      <c r="J34" s="191"/>
      <c r="K34" s="192"/>
      <c r="L34" s="112"/>
    </row>
    <row r="35" spans="2:12" ht="7.5" customHeight="1">
      <c r="B35" s="104"/>
      <c r="C35" s="111"/>
      <c r="D35" s="111"/>
      <c r="E35" s="111"/>
      <c r="F35" s="111"/>
      <c r="G35" s="111"/>
      <c r="H35" s="111"/>
      <c r="I35" s="111"/>
      <c r="J35" s="111"/>
      <c r="K35" s="110"/>
      <c r="L35" s="112"/>
    </row>
    <row r="36" spans="2:12" s="18" customFormat="1" ht="20.25">
      <c r="B36" s="108"/>
      <c r="C36" s="233" t="s">
        <v>282</v>
      </c>
      <c r="D36" s="233"/>
      <c r="E36" s="233"/>
      <c r="F36" s="233"/>
      <c r="G36" s="233"/>
      <c r="H36" s="233"/>
      <c r="I36" s="233"/>
      <c r="J36" s="233"/>
      <c r="K36" s="233"/>
      <c r="L36" s="117"/>
    </row>
    <row r="37" spans="2:12" s="18" customFormat="1" ht="15.75" customHeight="1">
      <c r="B37" s="108"/>
      <c r="C37" s="119"/>
      <c r="D37" s="119"/>
      <c r="E37" s="119"/>
      <c r="F37" s="119"/>
      <c r="G37" s="119"/>
      <c r="H37" s="119"/>
      <c r="I37" s="119"/>
      <c r="J37" s="119"/>
      <c r="K37" s="119"/>
      <c r="L37" s="117"/>
    </row>
    <row r="38" spans="2:12" ht="31.5" customHeight="1">
      <c r="B38" s="104"/>
      <c r="C38" s="228" t="s">
        <v>20</v>
      </c>
      <c r="D38" s="229"/>
      <c r="E38" s="229"/>
      <c r="F38" s="229"/>
      <c r="G38" s="229"/>
      <c r="H38" s="229"/>
      <c r="I38" s="229"/>
      <c r="J38" s="229"/>
      <c r="K38" s="229"/>
      <c r="L38" s="112"/>
    </row>
    <row r="39" spans="2:12" ht="24" customHeight="1">
      <c r="B39" s="109"/>
      <c r="C39" s="120"/>
      <c r="D39" s="120"/>
      <c r="E39" s="120"/>
      <c r="F39" s="120"/>
      <c r="G39" s="120"/>
      <c r="H39" s="120"/>
      <c r="I39" s="120"/>
      <c r="J39" s="120"/>
      <c r="K39" s="121"/>
      <c r="L39" s="118"/>
    </row>
  </sheetData>
  <sheetProtection algorithmName="SHA-512" hashValue="rJDMZUoW0hjUXsbiNOFvlItY8A80XB3pkgRvlExNskrk3261zXHSDi6esF3hkknvcKEyV2885VfuTkmdR5nflg==" saltValue="fepZMyDnRtae8ZttlGzRWA==" spinCount="100000" sheet="1" selectLockedCells="1"/>
  <mergeCells count="59">
    <mergeCell ref="H21:J21"/>
    <mergeCell ref="C21:G21"/>
    <mergeCell ref="C19:G19"/>
    <mergeCell ref="H17:J17"/>
    <mergeCell ref="C16:D16"/>
    <mergeCell ref="E16:G16"/>
    <mergeCell ref="C20:G20"/>
    <mergeCell ref="H15:J15"/>
    <mergeCell ref="H18:J18"/>
    <mergeCell ref="E17:G17"/>
    <mergeCell ref="H19:J19"/>
    <mergeCell ref="C18:G18"/>
    <mergeCell ref="C38:K38"/>
    <mergeCell ref="C33:K33"/>
    <mergeCell ref="C36:K36"/>
    <mergeCell ref="H16:J16"/>
    <mergeCell ref="H23:J23"/>
    <mergeCell ref="H24:J24"/>
    <mergeCell ref="H25:J25"/>
    <mergeCell ref="C22:G22"/>
    <mergeCell ref="H22:J22"/>
    <mergeCell ref="C25:G25"/>
    <mergeCell ref="C24:G24"/>
    <mergeCell ref="C23:G23"/>
    <mergeCell ref="C26:G26"/>
    <mergeCell ref="C28:G28"/>
    <mergeCell ref="C17:D17"/>
    <mergeCell ref="H20:J20"/>
    <mergeCell ref="D6:G6"/>
    <mergeCell ref="C5:F5"/>
    <mergeCell ref="G5:K5"/>
    <mergeCell ref="C3:K3"/>
    <mergeCell ref="E13:G13"/>
    <mergeCell ref="C8:D10"/>
    <mergeCell ref="E8:F8"/>
    <mergeCell ref="E10:F10"/>
    <mergeCell ref="H8:J8"/>
    <mergeCell ref="H10:J10"/>
    <mergeCell ref="C11:D11"/>
    <mergeCell ref="E11:G11"/>
    <mergeCell ref="H11:J11"/>
    <mergeCell ref="E9:F9"/>
    <mergeCell ref="H9:J9"/>
    <mergeCell ref="C34:K34"/>
    <mergeCell ref="E14:F14"/>
    <mergeCell ref="C12:D14"/>
    <mergeCell ref="H12:J12"/>
    <mergeCell ref="H13:J13"/>
    <mergeCell ref="H14:J14"/>
    <mergeCell ref="E12:G12"/>
    <mergeCell ref="C31:K31"/>
    <mergeCell ref="C29:G29"/>
    <mergeCell ref="H26:J26"/>
    <mergeCell ref="C27:G27"/>
    <mergeCell ref="H27:J27"/>
    <mergeCell ref="H28:J28"/>
    <mergeCell ref="H29:J29"/>
    <mergeCell ref="C15:D15"/>
    <mergeCell ref="E15:G15"/>
  </mergeCells>
  <phoneticPr fontId="31" type="noConversion"/>
  <conditionalFormatting sqref="H13">
    <cfRule type="cellIs" dxfId="24" priority="73" operator="equal">
      <formula>0</formula>
    </cfRule>
  </conditionalFormatting>
  <conditionalFormatting sqref="H14:J14">
    <cfRule type="cellIs" dxfId="23" priority="70" operator="equal">
      <formula>0</formula>
    </cfRule>
  </conditionalFormatting>
  <conditionalFormatting sqref="K14">
    <cfRule type="expression" dxfId="22" priority="61">
      <formula>$H$14=0</formula>
    </cfRule>
  </conditionalFormatting>
  <conditionalFormatting sqref="H19:K19">
    <cfRule type="expression" dxfId="21" priority="59">
      <formula>$H$19=0</formula>
    </cfRule>
  </conditionalFormatting>
  <conditionalFormatting sqref="C20 H20 K20 C21:J21 C19:G19">
    <cfRule type="expression" dxfId="20" priority="53">
      <formula>$H$20=0</formula>
    </cfRule>
  </conditionalFormatting>
  <conditionalFormatting sqref="H26:K26">
    <cfRule type="expression" dxfId="19" priority="50">
      <formula>$H$26=0</formula>
    </cfRule>
  </conditionalFormatting>
  <conditionalFormatting sqref="C23:K23">
    <cfRule type="expression" dxfId="18" priority="43">
      <formula>$H$23=0</formula>
    </cfRule>
  </conditionalFormatting>
  <conditionalFormatting sqref="C24:K24">
    <cfRule type="expression" dxfId="17" priority="42">
      <formula>$H$24=0</formula>
    </cfRule>
  </conditionalFormatting>
  <conditionalFormatting sqref="H22:K22">
    <cfRule type="expression" dxfId="16" priority="40">
      <formula>$H$22=0</formula>
    </cfRule>
  </conditionalFormatting>
  <conditionalFormatting sqref="H25:K25">
    <cfRule type="expression" dxfId="15" priority="39">
      <formula>$H$25=0</formula>
    </cfRule>
  </conditionalFormatting>
  <conditionalFormatting sqref="H27:K27">
    <cfRule type="expression" dxfId="14" priority="37">
      <formula>$H$27=0</formula>
    </cfRule>
  </conditionalFormatting>
  <conditionalFormatting sqref="H28:K28">
    <cfRule type="expression" dxfId="13" priority="36">
      <formula>$H$28=0</formula>
    </cfRule>
  </conditionalFormatting>
  <conditionalFormatting sqref="H15:K15">
    <cfRule type="expression" dxfId="12" priority="34">
      <formula>$H$15=0</formula>
    </cfRule>
  </conditionalFormatting>
  <conditionalFormatting sqref="K17">
    <cfRule type="expression" dxfId="11" priority="32">
      <formula>$H$17=0</formula>
    </cfRule>
  </conditionalFormatting>
  <conditionalFormatting sqref="K21">
    <cfRule type="expression" dxfId="10" priority="24">
      <formula>$H$21=0</formula>
    </cfRule>
  </conditionalFormatting>
  <conditionalFormatting sqref="C22:G22">
    <cfRule type="expression" dxfId="9" priority="16">
      <formula>$H$22=0</formula>
    </cfRule>
  </conditionalFormatting>
  <conditionalFormatting sqref="C15:G15">
    <cfRule type="expression" dxfId="8" priority="13">
      <formula>$H$15=0</formula>
    </cfRule>
  </conditionalFormatting>
  <conditionalFormatting sqref="C16:G16">
    <cfRule type="expression" dxfId="7" priority="12">
      <formula>$H$16=0</formula>
    </cfRule>
  </conditionalFormatting>
  <conditionalFormatting sqref="H21">
    <cfRule type="expression" dxfId="6" priority="10">
      <formula>$H$20=0</formula>
    </cfRule>
  </conditionalFormatting>
  <conditionalFormatting sqref="C21">
    <cfRule type="expression" dxfId="5" priority="9">
      <formula>$H$20=0</formula>
    </cfRule>
  </conditionalFormatting>
  <conditionalFormatting sqref="C19">
    <cfRule type="expression" dxfId="4" priority="8">
      <formula>$H$20=0</formula>
    </cfRule>
  </conditionalFormatting>
  <conditionalFormatting sqref="E17">
    <cfRule type="expression" dxfId="3" priority="6">
      <formula>$H$17=0</formula>
    </cfRule>
  </conditionalFormatting>
  <conditionalFormatting sqref="C17:D17">
    <cfRule type="expression" dxfId="2" priority="5">
      <formula>$H$17=0</formula>
    </cfRule>
  </conditionalFormatting>
  <conditionalFormatting sqref="H18:K18">
    <cfRule type="expression" dxfId="1" priority="2">
      <formula>$H$18=0</formula>
    </cfRule>
  </conditionalFormatting>
  <conditionalFormatting sqref="H21:J21">
    <cfRule type="expression" dxfId="0" priority="1">
      <formula>$H$21=0</formula>
    </cfRule>
  </conditionalFormatting>
  <printOptions horizontalCentered="1" verticalCentered="1"/>
  <pageMargins left="0.27541667222976685" right="0.27541667222976685" top="0.19666667282581329" bottom="0.19666667282581329" header="0.31486111879348755" footer="0.31486111879348755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데이터</vt:lpstr>
      <vt:lpstr>2018학년도정산서</vt:lpstr>
      <vt:lpstr>'2018학년도정산서'!Print_Area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Lincolnmid-PC19</dc:creator>
  <cp:lastModifiedBy>LINCOLN 행정</cp:lastModifiedBy>
  <cp:revision>74</cp:revision>
  <cp:lastPrinted>2017-11-10T02:21:08Z</cp:lastPrinted>
  <dcterms:created xsi:type="dcterms:W3CDTF">2015-06-22T08:26:27Z</dcterms:created>
  <dcterms:modified xsi:type="dcterms:W3CDTF">2019-01-28T11:54:36Z</dcterms:modified>
  <cp:version>0906.0200.01</cp:version>
</cp:coreProperties>
</file>